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50" windowWidth="15570" windowHeight="7350" firstSheet="1" activeTab="1"/>
  </bookViews>
  <sheets>
    <sheet name="AS4041 Straight Internal" sheetId="1" r:id="rId1"/>
    <sheet name="ASME B31.3 Straight Internal" sheetId="2" r:id="rId2"/>
    <sheet name="AS4041 Bend Internal" sheetId="3" r:id="rId3"/>
    <sheet name="ASME B31.3 Bend Internal" sheetId="4" r:id="rId4"/>
    <sheet name="Sheet2" sheetId="5" r:id="rId5"/>
    <sheet name="Sheet3" sheetId="6" r:id="rId6"/>
  </sheets>
  <definedNames/>
  <calcPr fullCalcOnLoad="1"/>
</workbook>
</file>

<file path=xl/sharedStrings.xml><?xml version="1.0" encoding="utf-8"?>
<sst xmlns="http://schemas.openxmlformats.org/spreadsheetml/2006/main" count="199" uniqueCount="79">
  <si>
    <t>Class Design Factor (AS4041 Table 3.12.3)</t>
  </si>
  <si>
    <t>e</t>
  </si>
  <si>
    <t>M</t>
  </si>
  <si>
    <t>f</t>
  </si>
  <si>
    <t>Material Design Strength, MPa (AS4041, Appendix D)</t>
  </si>
  <si>
    <t>Nominal Wall Thickness from Pipe Charts, mm</t>
  </si>
  <si>
    <r>
      <t>Manufacturing Tolerance (</t>
    </r>
    <r>
      <rPr>
        <sz val="11"/>
        <color indexed="8"/>
        <rFont val="Calibri"/>
        <family val="2"/>
      </rPr>
      <t>± %)</t>
    </r>
  </si>
  <si>
    <t>Depth of Threading, Grooving or Machining, mm</t>
  </si>
  <si>
    <t>Manufacturing Tolerances</t>
  </si>
  <si>
    <r>
      <t>t</t>
    </r>
    <r>
      <rPr>
        <i/>
        <vertAlign val="subscript"/>
        <sz val="11"/>
        <color indexed="8"/>
        <rFont val="Times New Roman"/>
        <family val="1"/>
      </rPr>
      <t>f</t>
    </r>
  </si>
  <si>
    <t>Corrosion Allowance, mm</t>
  </si>
  <si>
    <t>Pipe Outside Diameter from Pipe Charts, mm</t>
  </si>
  <si>
    <t>D</t>
  </si>
  <si>
    <r>
      <t xml:space="preserve">Aust Pipes </t>
    </r>
    <r>
      <rPr>
        <sz val="11"/>
        <color indexed="8"/>
        <rFont val="Calibri"/>
        <family val="2"/>
      </rPr>
      <t>± 10%; American Pipes ± 12.5%</t>
    </r>
  </si>
  <si>
    <t>Weld Joint Factor (AS4041 Table 3.12.2 or D12)</t>
  </si>
  <si>
    <t>Maximum Allowable Design Pressure, MPa</t>
  </si>
  <si>
    <t>MADP</t>
  </si>
  <si>
    <t>AS4041 PRESSURE PIPING - ALLOWABLE DESIGN PRESSURE</t>
  </si>
  <si>
    <t>AS4041 PRESSURE PIPING - REQUIRED PRESSURE DESIGN WALL THICKNESS</t>
  </si>
  <si>
    <t>Pressure Design Wall Thickness, mm</t>
  </si>
  <si>
    <t>Manufacturing Tolerance (± %)</t>
  </si>
  <si>
    <t>Aust Pipes ± 10%; American Pipes ± 12.5%</t>
  </si>
  <si>
    <r>
      <t>t</t>
    </r>
    <r>
      <rPr>
        <i/>
        <vertAlign val="subscript"/>
        <sz val="11"/>
        <color indexed="8"/>
        <rFont val="Times New Roman"/>
        <family val="1"/>
      </rPr>
      <t>m</t>
    </r>
  </si>
  <si>
    <r>
      <t>t</t>
    </r>
    <r>
      <rPr>
        <i/>
        <vertAlign val="subscript"/>
        <sz val="11"/>
        <color indexed="8"/>
        <rFont val="Times New Roman"/>
        <family val="1"/>
      </rPr>
      <t>m</t>
    </r>
  </si>
  <si>
    <r>
      <t xml:space="preserve">e </t>
    </r>
    <r>
      <rPr>
        <sz val="11"/>
        <color indexed="8"/>
        <rFont val="Arial"/>
        <family val="2"/>
      </rPr>
      <t>x</t>
    </r>
    <r>
      <rPr>
        <i/>
        <sz val="11"/>
        <color indexed="8"/>
        <rFont val="Times New Roman"/>
        <family val="1"/>
      </rPr>
      <t xml:space="preserve"> M</t>
    </r>
  </si>
  <si>
    <r>
      <rPr>
        <i/>
        <sz val="11"/>
        <color indexed="8"/>
        <rFont val="Times New Roman"/>
        <family val="1"/>
      </rPr>
      <t>e</t>
    </r>
    <r>
      <rPr>
        <sz val="11"/>
        <color theme="1"/>
        <rFont val="Calibri"/>
        <family val="2"/>
      </rPr>
      <t xml:space="preserve"> x </t>
    </r>
    <r>
      <rPr>
        <i/>
        <sz val="11"/>
        <color indexed="8"/>
        <rFont val="Times New Roman"/>
        <family val="1"/>
      </rPr>
      <t>M</t>
    </r>
  </si>
  <si>
    <t>G</t>
  </si>
  <si>
    <t xml:space="preserve">Design Pressure, MPa </t>
  </si>
  <si>
    <t>p</t>
  </si>
  <si>
    <r>
      <t xml:space="preserve">Product of </t>
    </r>
    <r>
      <rPr>
        <i/>
        <sz val="11"/>
        <color indexed="8"/>
        <rFont val="Times New Roman"/>
        <family val="1"/>
      </rPr>
      <t>e</t>
    </r>
    <r>
      <rPr>
        <sz val="11"/>
        <color theme="1"/>
        <rFont val="Calibri"/>
        <family val="2"/>
      </rPr>
      <t xml:space="preserve"> x </t>
    </r>
    <r>
      <rPr>
        <i/>
        <sz val="11"/>
        <color indexed="8"/>
        <rFont val="Times New Roman"/>
        <family val="1"/>
      </rPr>
      <t>M</t>
    </r>
    <r>
      <rPr>
        <sz val="11"/>
        <color theme="1"/>
        <rFont val="Calibri"/>
        <family val="2"/>
      </rPr>
      <t xml:space="preserve"> not less than 0.7</t>
    </r>
  </si>
  <si>
    <t>T</t>
  </si>
  <si>
    <r>
      <t xml:space="preserve">Design Temperature, </t>
    </r>
    <r>
      <rPr>
        <sz val="11"/>
        <color indexed="8"/>
        <rFont val="Calibri"/>
        <family val="2"/>
      </rPr>
      <t>°C</t>
    </r>
  </si>
  <si>
    <t>Weld Joint Strength Reduction Factor (AS4041 Table 3.12.5)</t>
  </si>
  <si>
    <t>W</t>
  </si>
  <si>
    <t>Design Temperature, °C</t>
  </si>
  <si>
    <t>Required Wall Thickness (including allowances), mm</t>
  </si>
  <si>
    <t>ASME B31.3 PROCESS PIPING - ALLOWABLE DESIGN PRESSURE</t>
  </si>
  <si>
    <r>
      <t>E</t>
    </r>
    <r>
      <rPr>
        <i/>
        <vertAlign val="subscript"/>
        <sz val="11"/>
        <color indexed="8"/>
        <rFont val="Times New Roman"/>
        <family val="1"/>
      </rPr>
      <t>j</t>
    </r>
  </si>
  <si>
    <t>Weld Joint Quality Factor (ASME B31.3 Table 302.3.4)</t>
  </si>
  <si>
    <t>Material Allowable Stress, MPa (ASME B31.3 Table A-1M)</t>
  </si>
  <si>
    <t>S</t>
  </si>
  <si>
    <t>Coefficient Y (ASME B31.3 Table 304.1.1)</t>
  </si>
  <si>
    <t>Y</t>
  </si>
  <si>
    <t>c</t>
  </si>
  <si>
    <t>Pressure Design Thickness, mm</t>
  </si>
  <si>
    <t>t</t>
  </si>
  <si>
    <t>Weld Joint Strength Reduction Factor (ASME B31.3 Cl. 302.3.5(e))</t>
  </si>
  <si>
    <t>Maximum Allowable Internal Design Gauge Pressure, MPa</t>
  </si>
  <si>
    <t>P</t>
  </si>
  <si>
    <t>ASME B31.3 PROCESS PIPING - REQUIRED PRESSURE DESIGN WALL THICKNESS</t>
  </si>
  <si>
    <t>Minimum Required Thickness (including allowances), mm</t>
  </si>
  <si>
    <r>
      <t>975</t>
    </r>
    <r>
      <rPr>
        <sz val="11"/>
        <color indexed="8"/>
        <rFont val="Calibri"/>
        <family val="2"/>
      </rPr>
      <t>°F</t>
    </r>
  </si>
  <si>
    <t>Seamless ASTM A312 TP304</t>
  </si>
  <si>
    <t>12 ksi</t>
  </si>
  <si>
    <t>10.75"</t>
  </si>
  <si>
    <t>845 psi</t>
  </si>
  <si>
    <t>inches</t>
  </si>
  <si>
    <t>Therefore Choose DN250 S/S pipe will a nominal thickness &gt; 12.7 mm</t>
  </si>
  <si>
    <t>Therefore Choose DN250 S/S pipe will a nominal thickness &gt; 12.77 mm</t>
  </si>
  <si>
    <t>Bend Radius, measured to pipe centreline, mm</t>
  </si>
  <si>
    <r>
      <t>R</t>
    </r>
    <r>
      <rPr>
        <i/>
        <vertAlign val="subscript"/>
        <sz val="11"/>
        <color indexed="8"/>
        <rFont val="Times New Roman"/>
        <family val="1"/>
      </rPr>
      <t>1</t>
    </r>
  </si>
  <si>
    <t>Pressure Design Wall Thickness @ Intrados, mm</t>
  </si>
  <si>
    <t>Pressure Design Wall Thickness @ Extrados, mm</t>
  </si>
  <si>
    <r>
      <t>"</t>
    </r>
    <r>
      <rPr>
        <i/>
        <sz val="11"/>
        <color indexed="8"/>
        <rFont val="Times New Roman"/>
        <family val="1"/>
      </rPr>
      <t>I</t>
    </r>
    <r>
      <rPr>
        <sz val="11"/>
        <color theme="1"/>
        <rFont val="Calibri"/>
        <family val="2"/>
      </rPr>
      <t>" at the Intrados</t>
    </r>
  </si>
  <si>
    <r>
      <t>"</t>
    </r>
    <r>
      <rPr>
        <i/>
        <sz val="11"/>
        <color indexed="8"/>
        <rFont val="Times New Roman"/>
        <family val="1"/>
      </rPr>
      <t>I</t>
    </r>
    <r>
      <rPr>
        <sz val="11"/>
        <color theme="1"/>
        <rFont val="Calibri"/>
        <family val="2"/>
      </rPr>
      <t>" at the Extrados</t>
    </r>
  </si>
  <si>
    <t>I</t>
  </si>
  <si>
    <t>Required Wall Thickness @ Intrados, mm</t>
  </si>
  <si>
    <t>Required Wall Thickness @ Extrados, mm</t>
  </si>
  <si>
    <t>As thickness is "lost"during the bending process, it would be normal</t>
  </si>
  <si>
    <t>to multiply the required wall thickness at the extrados by a factor of</t>
  </si>
  <si>
    <t>1.1 to 1.125 dependent upon how "tight"the bend radius is.  The resulting</t>
  </si>
  <si>
    <t>value will give the nominal thickness of pipe required for bending.</t>
  </si>
  <si>
    <t>AS4041 PRESSURE PIPING - REQUIRED PRESSURE DESIGN WALL THICKNESS FOR BENDS</t>
  </si>
  <si>
    <t>ASME B31.3 PROCESS PIPING - REQUIRED PRESSURE DESIGN WALL THICKNESS FOR BENDS</t>
  </si>
  <si>
    <t xml:space="preserve">Internal Gauge Pressure, MPa </t>
  </si>
  <si>
    <t>Pressure Design Thickness @ Intrados, mm</t>
  </si>
  <si>
    <t>Pressure Design Thickness @ Extrados, mm</t>
  </si>
  <si>
    <t>Problem with AS4041 formula compared to ASME B31.3 formula.</t>
  </si>
  <si>
    <t>The intrados should get thicker and the extrados thinner.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</si>
</sst>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0.000000"/>
    <numFmt numFmtId="166" formatCode="0.00000"/>
    <numFmt numFmtId="167" formatCode="0.0000"/>
    <numFmt numFmtId="168" formatCode="0.000"/>
    <numFmt numFmtId="169" formatCode="0.0000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i/>
      <vertAlign val="subscript"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1"/>
      <name val="Calibri"/>
      <family val="2"/>
    </font>
    <font>
      <i/>
      <sz val="11"/>
      <color theme="1"/>
      <name val="Times New Roman"/>
      <family val="1"/>
    </font>
    <font>
      <b/>
      <u val="single"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7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6" borderId="13" xfId="0" applyFill="1" applyBorder="1" applyAlignment="1">
      <alignment/>
    </xf>
    <xf numFmtId="0" fontId="0" fillId="6" borderId="14" xfId="0" applyFill="1" applyBorder="1" applyAlignment="1">
      <alignment/>
    </xf>
    <xf numFmtId="0" fontId="0" fillId="6" borderId="15" xfId="0" applyFill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40" fillId="0" borderId="18" xfId="0" applyFont="1" applyBorder="1" applyAlignment="1">
      <alignment/>
    </xf>
    <xf numFmtId="0" fontId="0" fillId="33" borderId="18" xfId="0" applyFill="1" applyBorder="1" applyAlignment="1">
      <alignment/>
    </xf>
    <xf numFmtId="0" fontId="41" fillId="0" borderId="10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0" xfId="0" applyBorder="1" applyAlignment="1">
      <alignment/>
    </xf>
    <xf numFmtId="0" fontId="0" fillId="0" borderId="21" xfId="0" applyBorder="1" applyAlignment="1">
      <alignment/>
    </xf>
    <xf numFmtId="164" fontId="0" fillId="6" borderId="14" xfId="0" applyNumberFormat="1" applyFill="1" applyBorder="1" applyAlignment="1">
      <alignment/>
    </xf>
    <xf numFmtId="164" fontId="0" fillId="6" borderId="15" xfId="0" applyNumberFormat="1" applyFill="1" applyBorder="1" applyAlignment="1">
      <alignment/>
    </xf>
    <xf numFmtId="2" fontId="0" fillId="6" borderId="14" xfId="0" applyNumberFormat="1" applyFill="1" applyBorder="1" applyAlignment="1">
      <alignment/>
    </xf>
    <xf numFmtId="0" fontId="0" fillId="0" borderId="22" xfId="0" applyBorder="1" applyAlignment="1">
      <alignment/>
    </xf>
    <xf numFmtId="2" fontId="0" fillId="33" borderId="18" xfId="0" applyNumberFormat="1" applyFill="1" applyBorder="1" applyAlignment="1">
      <alignment/>
    </xf>
    <xf numFmtId="0" fontId="40" fillId="0" borderId="0" xfId="0" applyFont="1" applyAlignment="1">
      <alignment/>
    </xf>
    <xf numFmtId="164" fontId="0" fillId="0" borderId="0" xfId="0" applyNumberFormat="1" applyAlignment="1">
      <alignment/>
    </xf>
    <xf numFmtId="0" fontId="40" fillId="0" borderId="0" xfId="0" applyFont="1" applyAlignment="1">
      <alignment horizontal="center"/>
    </xf>
    <xf numFmtId="0" fontId="40" fillId="0" borderId="19" xfId="0" applyFont="1" applyBorder="1" applyAlignment="1">
      <alignment horizontal="center"/>
    </xf>
    <xf numFmtId="0" fontId="40" fillId="0" borderId="0" xfId="0" applyFont="1" applyBorder="1" applyAlignment="1">
      <alignment horizontal="center"/>
    </xf>
    <xf numFmtId="0" fontId="40" fillId="0" borderId="21" xfId="0" applyFont="1" applyBorder="1" applyAlignment="1">
      <alignment horizontal="center"/>
    </xf>
    <xf numFmtId="0" fontId="0" fillId="0" borderId="18" xfId="0" applyBorder="1" applyAlignment="1">
      <alignment/>
    </xf>
    <xf numFmtId="0" fontId="40" fillId="0" borderId="20" xfId="0" applyFont="1" applyBorder="1" applyAlignment="1">
      <alignment horizontal="center"/>
    </xf>
    <xf numFmtId="0" fontId="40" fillId="0" borderId="16" xfId="0" applyFont="1" applyBorder="1" applyAlignment="1">
      <alignment horizontal="center"/>
    </xf>
    <xf numFmtId="0" fontId="40" fillId="0" borderId="17" xfId="0" applyFont="1" applyBorder="1" applyAlignment="1">
      <alignment horizontal="center"/>
    </xf>
    <xf numFmtId="164" fontId="0" fillId="6" borderId="13" xfId="0" applyNumberFormat="1" applyFill="1" applyBorder="1" applyAlignment="1">
      <alignment/>
    </xf>
    <xf numFmtId="0" fontId="40" fillId="0" borderId="20" xfId="0" applyFont="1" applyFill="1" applyBorder="1" applyAlignment="1">
      <alignment horizontal="center"/>
    </xf>
    <xf numFmtId="0" fontId="40" fillId="0" borderId="2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 vertical="center"/>
    </xf>
    <xf numFmtId="164" fontId="0" fillId="0" borderId="0" xfId="0" applyNumberFormat="1" applyFill="1" applyBorder="1" applyAlignment="1">
      <alignment/>
    </xf>
    <xf numFmtId="0" fontId="40" fillId="0" borderId="23" xfId="0" applyFont="1" applyBorder="1" applyAlignment="1">
      <alignment horizontal="center" vertical="center"/>
    </xf>
    <xf numFmtId="2" fontId="0" fillId="6" borderId="18" xfId="0" applyNumberFormat="1" applyFill="1" applyBorder="1" applyAlignment="1">
      <alignment/>
    </xf>
    <xf numFmtId="0" fontId="40" fillId="0" borderId="0" xfId="0" applyFont="1" applyBorder="1" applyAlignment="1">
      <alignment/>
    </xf>
    <xf numFmtId="0" fontId="0" fillId="0" borderId="0" xfId="0" applyFill="1" applyBorder="1" applyAlignment="1">
      <alignment/>
    </xf>
    <xf numFmtId="1" fontId="0" fillId="6" borderId="14" xfId="0" applyNumberFormat="1" applyFill="1" applyBorder="1" applyAlignment="1">
      <alignment/>
    </xf>
    <xf numFmtId="0" fontId="40" fillId="0" borderId="0" xfId="0" applyFont="1" applyFill="1" applyBorder="1" applyAlignment="1">
      <alignment/>
    </xf>
    <xf numFmtId="2" fontId="0" fillId="6" borderId="13" xfId="0" applyNumberFormat="1" applyFill="1" applyBorder="1" applyAlignment="1">
      <alignment/>
    </xf>
    <xf numFmtId="168" fontId="0" fillId="33" borderId="18" xfId="0" applyNumberFormat="1" applyFill="1" applyBorder="1" applyAlignment="1">
      <alignment/>
    </xf>
    <xf numFmtId="168" fontId="0" fillId="0" borderId="0" xfId="0" applyNumberFormat="1" applyAlignment="1">
      <alignment/>
    </xf>
    <xf numFmtId="168" fontId="0" fillId="33" borderId="14" xfId="0" applyNumberFormat="1" applyFill="1" applyBorder="1" applyAlignment="1">
      <alignment/>
    </xf>
    <xf numFmtId="164" fontId="0" fillId="33" borderId="18" xfId="0" applyNumberFormat="1" applyFill="1" applyBorder="1" applyAlignment="1">
      <alignment/>
    </xf>
    <xf numFmtId="2" fontId="0" fillId="33" borderId="15" xfId="0" applyNumberFormat="1" applyFill="1" applyBorder="1" applyAlignment="1">
      <alignment/>
    </xf>
    <xf numFmtId="2" fontId="0" fillId="33" borderId="14" xfId="0" applyNumberFormat="1" applyFill="1" applyBorder="1" applyAlignment="1">
      <alignment/>
    </xf>
    <xf numFmtId="2" fontId="0" fillId="33" borderId="13" xfId="0" applyNumberFormat="1" applyFill="1" applyBorder="1" applyAlignment="1">
      <alignment/>
    </xf>
    <xf numFmtId="168" fontId="0" fillId="33" borderId="13" xfId="0" applyNumberFormat="1" applyFill="1" applyBorder="1" applyAlignment="1">
      <alignment/>
    </xf>
    <xf numFmtId="0" fontId="38" fillId="0" borderId="0" xfId="0" applyFont="1" applyAlignment="1">
      <alignment/>
    </xf>
    <xf numFmtId="0" fontId="40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40" fillId="0" borderId="17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6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38100</xdr:colOff>
      <xdr:row>2</xdr:row>
      <xdr:rowOff>76200</xdr:rowOff>
    </xdr:from>
    <xdr:to>
      <xdr:col>3</xdr:col>
      <xdr:colOff>561975</xdr:colOff>
      <xdr:row>3</xdr:row>
      <xdr:rowOff>114300</xdr:rowOff>
    </xdr:to>
    <xdr:sp>
      <xdr:nvSpPr>
        <xdr:cNvPr id="1" name="Right Arrow 1"/>
        <xdr:cNvSpPr>
          <a:spLocks/>
        </xdr:cNvSpPr>
      </xdr:nvSpPr>
      <xdr:spPr>
        <a:xfrm>
          <a:off x="4524375" y="533400"/>
          <a:ext cx="523875" cy="228600"/>
        </a:xfrm>
        <a:prstGeom prst="rightArrow">
          <a:avLst>
            <a:gd name="adj" fmla="val 28421"/>
          </a:avLst>
        </a:prstGeom>
        <a:solidFill>
          <a:srgbClr val="FFFF00"/>
        </a:solidFill>
        <a:ln w="25400" cmpd="sng">
          <a:solidFill>
            <a:srgbClr val="C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28575</xdr:colOff>
      <xdr:row>9</xdr:row>
      <xdr:rowOff>190500</xdr:rowOff>
    </xdr:from>
    <xdr:to>
      <xdr:col>3</xdr:col>
      <xdr:colOff>552450</xdr:colOff>
      <xdr:row>11</xdr:row>
      <xdr:rowOff>28575</xdr:rowOff>
    </xdr:to>
    <xdr:sp>
      <xdr:nvSpPr>
        <xdr:cNvPr id="2" name="Right Arrow 2"/>
        <xdr:cNvSpPr>
          <a:spLocks/>
        </xdr:cNvSpPr>
      </xdr:nvSpPr>
      <xdr:spPr>
        <a:xfrm rot="10800000">
          <a:off x="4514850" y="1981200"/>
          <a:ext cx="523875" cy="238125"/>
        </a:xfrm>
        <a:prstGeom prst="rightArrow">
          <a:avLst>
            <a:gd name="adj" fmla="val 27537"/>
          </a:avLst>
        </a:prstGeom>
        <a:solidFill>
          <a:srgbClr val="FFFF00"/>
        </a:solidFill>
        <a:ln w="25400" cmpd="sng">
          <a:solidFill>
            <a:srgbClr val="C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9</xdr:col>
      <xdr:colOff>342900</xdr:colOff>
      <xdr:row>19</xdr:row>
      <xdr:rowOff>257175</xdr:rowOff>
    </xdr:from>
    <xdr:to>
      <xdr:col>14</xdr:col>
      <xdr:colOff>57150</xdr:colOff>
      <xdr:row>29</xdr:row>
      <xdr:rowOff>161925</xdr:rowOff>
    </xdr:to>
    <xdr:pic>
      <xdr:nvPicPr>
        <xdr:cNvPr id="3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10525" y="3990975"/>
          <a:ext cx="2762250" cy="1885950"/>
        </a:xfrm>
        <a:prstGeom prst="rect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9</xdr:col>
      <xdr:colOff>171450</xdr:colOff>
      <xdr:row>2</xdr:row>
      <xdr:rowOff>0</xdr:rowOff>
    </xdr:from>
    <xdr:to>
      <xdr:col>14</xdr:col>
      <xdr:colOff>57150</xdr:colOff>
      <xdr:row>13</xdr:row>
      <xdr:rowOff>85725</xdr:rowOff>
    </xdr:to>
    <xdr:pic>
      <xdr:nvPicPr>
        <xdr:cNvPr id="4" name="Picture 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39075" y="457200"/>
          <a:ext cx="2933700" cy="2200275"/>
        </a:xfrm>
        <a:prstGeom prst="rect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3</xdr:col>
      <xdr:colOff>47625</xdr:colOff>
      <xdr:row>21</xdr:row>
      <xdr:rowOff>76200</xdr:rowOff>
    </xdr:from>
    <xdr:to>
      <xdr:col>3</xdr:col>
      <xdr:colOff>571500</xdr:colOff>
      <xdr:row>22</xdr:row>
      <xdr:rowOff>123825</xdr:rowOff>
    </xdr:to>
    <xdr:sp>
      <xdr:nvSpPr>
        <xdr:cNvPr id="5" name="Right Arrow 7"/>
        <xdr:cNvSpPr>
          <a:spLocks/>
        </xdr:cNvSpPr>
      </xdr:nvSpPr>
      <xdr:spPr>
        <a:xfrm>
          <a:off x="4533900" y="4267200"/>
          <a:ext cx="523875" cy="238125"/>
        </a:xfrm>
        <a:prstGeom prst="rightArrow">
          <a:avLst>
            <a:gd name="adj" fmla="val 28421"/>
          </a:avLst>
        </a:prstGeom>
        <a:solidFill>
          <a:srgbClr val="FFFF00"/>
        </a:solidFill>
        <a:ln w="25400" cmpd="sng">
          <a:solidFill>
            <a:srgbClr val="C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38100</xdr:colOff>
      <xdr:row>29</xdr:row>
      <xdr:rowOff>0</xdr:rowOff>
    </xdr:from>
    <xdr:to>
      <xdr:col>3</xdr:col>
      <xdr:colOff>561975</xdr:colOff>
      <xdr:row>30</xdr:row>
      <xdr:rowOff>66675</xdr:rowOff>
    </xdr:to>
    <xdr:sp>
      <xdr:nvSpPr>
        <xdr:cNvPr id="6" name="Right Arrow 8"/>
        <xdr:cNvSpPr>
          <a:spLocks/>
        </xdr:cNvSpPr>
      </xdr:nvSpPr>
      <xdr:spPr>
        <a:xfrm rot="10800000">
          <a:off x="4524375" y="5715000"/>
          <a:ext cx="523875" cy="257175"/>
        </a:xfrm>
        <a:prstGeom prst="rightArrow">
          <a:avLst>
            <a:gd name="adj" fmla="val 26810"/>
          </a:avLst>
        </a:prstGeom>
        <a:solidFill>
          <a:srgbClr val="FFFF00"/>
        </a:solidFill>
        <a:ln w="25400" cmpd="sng">
          <a:solidFill>
            <a:srgbClr val="C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123825</xdr:colOff>
      <xdr:row>15</xdr:row>
      <xdr:rowOff>142875</xdr:rowOff>
    </xdr:from>
    <xdr:to>
      <xdr:col>3</xdr:col>
      <xdr:colOff>352425</xdr:colOff>
      <xdr:row>17</xdr:row>
      <xdr:rowOff>38100</xdr:rowOff>
    </xdr:to>
    <xdr:sp>
      <xdr:nvSpPr>
        <xdr:cNvPr id="7" name="Isosceles Triangle 9"/>
        <xdr:cNvSpPr>
          <a:spLocks/>
        </xdr:cNvSpPr>
      </xdr:nvSpPr>
      <xdr:spPr>
        <a:xfrm rot="16200000">
          <a:off x="4610100" y="3114675"/>
          <a:ext cx="228600" cy="276225"/>
        </a:xfrm>
        <a:prstGeom prst="triangle">
          <a:avLst/>
        </a:prstGeom>
        <a:solidFill>
          <a:srgbClr val="C00000"/>
        </a:solidFill>
        <a:ln w="25400" cmpd="sng">
          <a:solidFill>
            <a:srgbClr val="C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36</xdr:row>
      <xdr:rowOff>0</xdr:rowOff>
    </xdr:from>
    <xdr:to>
      <xdr:col>3</xdr:col>
      <xdr:colOff>361950</xdr:colOff>
      <xdr:row>37</xdr:row>
      <xdr:rowOff>66675</xdr:rowOff>
    </xdr:to>
    <xdr:sp>
      <xdr:nvSpPr>
        <xdr:cNvPr id="8" name="Isosceles Triangle 10"/>
        <xdr:cNvSpPr>
          <a:spLocks/>
        </xdr:cNvSpPr>
      </xdr:nvSpPr>
      <xdr:spPr>
        <a:xfrm rot="16200000">
          <a:off x="4619625" y="7067550"/>
          <a:ext cx="228600" cy="276225"/>
        </a:xfrm>
        <a:prstGeom prst="triangle">
          <a:avLst/>
        </a:prstGeom>
        <a:solidFill>
          <a:srgbClr val="C00000"/>
        </a:solidFill>
        <a:ln w="25400" cmpd="sng">
          <a:solidFill>
            <a:srgbClr val="C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9</xdr:row>
      <xdr:rowOff>190500</xdr:rowOff>
    </xdr:from>
    <xdr:to>
      <xdr:col>3</xdr:col>
      <xdr:colOff>552450</xdr:colOff>
      <xdr:row>11</xdr:row>
      <xdr:rowOff>28575</xdr:rowOff>
    </xdr:to>
    <xdr:sp>
      <xdr:nvSpPr>
        <xdr:cNvPr id="1" name="Right Arrow 2"/>
        <xdr:cNvSpPr>
          <a:spLocks/>
        </xdr:cNvSpPr>
      </xdr:nvSpPr>
      <xdr:spPr>
        <a:xfrm rot="10800000">
          <a:off x="4857750" y="2000250"/>
          <a:ext cx="523875" cy="238125"/>
        </a:xfrm>
        <a:prstGeom prst="rightArrow">
          <a:avLst>
            <a:gd name="adj" fmla="val 26810"/>
          </a:avLst>
        </a:prstGeom>
        <a:solidFill>
          <a:srgbClr val="FFFF00"/>
        </a:solidFill>
        <a:ln w="25400" cmpd="sng">
          <a:solidFill>
            <a:srgbClr val="C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38100</xdr:colOff>
      <xdr:row>29</xdr:row>
      <xdr:rowOff>0</xdr:rowOff>
    </xdr:from>
    <xdr:to>
      <xdr:col>3</xdr:col>
      <xdr:colOff>561975</xdr:colOff>
      <xdr:row>30</xdr:row>
      <xdr:rowOff>66675</xdr:rowOff>
    </xdr:to>
    <xdr:sp>
      <xdr:nvSpPr>
        <xdr:cNvPr id="2" name="Right Arrow 6"/>
        <xdr:cNvSpPr>
          <a:spLocks/>
        </xdr:cNvSpPr>
      </xdr:nvSpPr>
      <xdr:spPr>
        <a:xfrm rot="10800000">
          <a:off x="4867275" y="5734050"/>
          <a:ext cx="523875" cy="257175"/>
        </a:xfrm>
        <a:prstGeom prst="rightArrow">
          <a:avLst>
            <a:gd name="adj" fmla="val 26810"/>
          </a:avLst>
        </a:prstGeom>
        <a:solidFill>
          <a:srgbClr val="FFFF00"/>
        </a:solidFill>
        <a:ln w="25400" cmpd="sng">
          <a:solidFill>
            <a:srgbClr val="C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123825</xdr:colOff>
      <xdr:row>15</xdr:row>
      <xdr:rowOff>142875</xdr:rowOff>
    </xdr:from>
    <xdr:to>
      <xdr:col>3</xdr:col>
      <xdr:colOff>352425</xdr:colOff>
      <xdr:row>17</xdr:row>
      <xdr:rowOff>38100</xdr:rowOff>
    </xdr:to>
    <xdr:sp>
      <xdr:nvSpPr>
        <xdr:cNvPr id="3" name="Isosceles Triangle 7"/>
        <xdr:cNvSpPr>
          <a:spLocks/>
        </xdr:cNvSpPr>
      </xdr:nvSpPr>
      <xdr:spPr>
        <a:xfrm rot="16200000">
          <a:off x="4953000" y="3114675"/>
          <a:ext cx="228600" cy="276225"/>
        </a:xfrm>
        <a:prstGeom prst="triangle">
          <a:avLst/>
        </a:prstGeom>
        <a:solidFill>
          <a:srgbClr val="C00000"/>
        </a:solidFill>
        <a:ln w="25400" cmpd="sng">
          <a:solidFill>
            <a:srgbClr val="C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36</xdr:row>
      <xdr:rowOff>0</xdr:rowOff>
    </xdr:from>
    <xdr:to>
      <xdr:col>3</xdr:col>
      <xdr:colOff>361950</xdr:colOff>
      <xdr:row>37</xdr:row>
      <xdr:rowOff>66675</xdr:rowOff>
    </xdr:to>
    <xdr:sp>
      <xdr:nvSpPr>
        <xdr:cNvPr id="4" name="Isosceles Triangle 8"/>
        <xdr:cNvSpPr>
          <a:spLocks/>
        </xdr:cNvSpPr>
      </xdr:nvSpPr>
      <xdr:spPr>
        <a:xfrm rot="16200000">
          <a:off x="4962525" y="7067550"/>
          <a:ext cx="228600" cy="276225"/>
        </a:xfrm>
        <a:prstGeom prst="triangle">
          <a:avLst/>
        </a:prstGeom>
        <a:solidFill>
          <a:srgbClr val="C00000"/>
        </a:solidFill>
        <a:ln w="25400" cmpd="sng">
          <a:solidFill>
            <a:srgbClr val="C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9</xdr:col>
      <xdr:colOff>247650</xdr:colOff>
      <xdr:row>0</xdr:row>
      <xdr:rowOff>247650</xdr:rowOff>
    </xdr:from>
    <xdr:to>
      <xdr:col>13</xdr:col>
      <xdr:colOff>504825</xdr:colOff>
      <xdr:row>9</xdr:row>
      <xdr:rowOff>190500</xdr:rowOff>
    </xdr:to>
    <xdr:pic>
      <xdr:nvPicPr>
        <xdr:cNvPr id="5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58175" y="247650"/>
          <a:ext cx="2695575" cy="1752600"/>
        </a:xfrm>
        <a:prstGeom prst="rect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9</xdr:col>
      <xdr:colOff>247650</xdr:colOff>
      <xdr:row>20</xdr:row>
      <xdr:rowOff>0</xdr:rowOff>
    </xdr:from>
    <xdr:to>
      <xdr:col>13</xdr:col>
      <xdr:colOff>495300</xdr:colOff>
      <xdr:row>30</xdr:row>
      <xdr:rowOff>180975</xdr:rowOff>
    </xdr:to>
    <xdr:pic>
      <xdr:nvPicPr>
        <xdr:cNvPr id="6" name="Picture 4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58175" y="4000500"/>
          <a:ext cx="2686050" cy="2105025"/>
        </a:xfrm>
        <a:prstGeom prst="rect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</xdr:colOff>
      <xdr:row>2</xdr:row>
      <xdr:rowOff>76200</xdr:rowOff>
    </xdr:from>
    <xdr:to>
      <xdr:col>3</xdr:col>
      <xdr:colOff>571500</xdr:colOff>
      <xdr:row>3</xdr:row>
      <xdr:rowOff>123825</xdr:rowOff>
    </xdr:to>
    <xdr:sp>
      <xdr:nvSpPr>
        <xdr:cNvPr id="1" name="Right Arrow 5"/>
        <xdr:cNvSpPr>
          <a:spLocks/>
        </xdr:cNvSpPr>
      </xdr:nvSpPr>
      <xdr:spPr>
        <a:xfrm>
          <a:off x="4533900" y="533400"/>
          <a:ext cx="523875" cy="238125"/>
        </a:xfrm>
        <a:prstGeom prst="rightArrow">
          <a:avLst>
            <a:gd name="adj" fmla="val 28421"/>
          </a:avLst>
        </a:prstGeom>
        <a:solidFill>
          <a:srgbClr val="FFFF00"/>
        </a:solidFill>
        <a:ln w="25400" cmpd="sng">
          <a:solidFill>
            <a:srgbClr val="C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38100</xdr:colOff>
      <xdr:row>11</xdr:row>
      <xdr:rowOff>0</xdr:rowOff>
    </xdr:from>
    <xdr:to>
      <xdr:col>3</xdr:col>
      <xdr:colOff>561975</xdr:colOff>
      <xdr:row>12</xdr:row>
      <xdr:rowOff>66675</xdr:rowOff>
    </xdr:to>
    <xdr:sp>
      <xdr:nvSpPr>
        <xdr:cNvPr id="2" name="Right Arrow 6"/>
        <xdr:cNvSpPr>
          <a:spLocks/>
        </xdr:cNvSpPr>
      </xdr:nvSpPr>
      <xdr:spPr>
        <a:xfrm rot="10800000">
          <a:off x="4524375" y="2190750"/>
          <a:ext cx="523875" cy="257175"/>
        </a:xfrm>
        <a:prstGeom prst="rightArrow">
          <a:avLst>
            <a:gd name="adj" fmla="val 26810"/>
          </a:avLst>
        </a:prstGeom>
        <a:solidFill>
          <a:srgbClr val="FFFF00"/>
        </a:solidFill>
        <a:ln w="25400" cmpd="sng">
          <a:solidFill>
            <a:srgbClr val="C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190500</xdr:colOff>
      <xdr:row>21</xdr:row>
      <xdr:rowOff>76200</xdr:rowOff>
    </xdr:from>
    <xdr:to>
      <xdr:col>3</xdr:col>
      <xdr:colOff>419100</xdr:colOff>
      <xdr:row>22</xdr:row>
      <xdr:rowOff>142875</xdr:rowOff>
    </xdr:to>
    <xdr:sp>
      <xdr:nvSpPr>
        <xdr:cNvPr id="3" name="Isosceles Triangle 8"/>
        <xdr:cNvSpPr>
          <a:spLocks/>
        </xdr:cNvSpPr>
      </xdr:nvSpPr>
      <xdr:spPr>
        <a:xfrm rot="16200000">
          <a:off x="4676775" y="4210050"/>
          <a:ext cx="228600" cy="276225"/>
        </a:xfrm>
        <a:prstGeom prst="triangle">
          <a:avLst/>
        </a:prstGeom>
        <a:solidFill>
          <a:srgbClr val="C00000"/>
        </a:solidFill>
        <a:ln w="25400" cmpd="sng">
          <a:solidFill>
            <a:srgbClr val="C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9</xdr:col>
      <xdr:colOff>47625</xdr:colOff>
      <xdr:row>2</xdr:row>
      <xdr:rowOff>9525</xdr:rowOff>
    </xdr:from>
    <xdr:to>
      <xdr:col>14</xdr:col>
      <xdr:colOff>95250</xdr:colOff>
      <xdr:row>12</xdr:row>
      <xdr:rowOff>180975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0" y="466725"/>
          <a:ext cx="3095625" cy="2095500"/>
        </a:xfrm>
        <a:prstGeom prst="rect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38100</xdr:colOff>
      <xdr:row>11</xdr:row>
      <xdr:rowOff>0</xdr:rowOff>
    </xdr:from>
    <xdr:to>
      <xdr:col>3</xdr:col>
      <xdr:colOff>561975</xdr:colOff>
      <xdr:row>12</xdr:row>
      <xdr:rowOff>66675</xdr:rowOff>
    </xdr:to>
    <xdr:sp>
      <xdr:nvSpPr>
        <xdr:cNvPr id="1" name="Right Arrow 2"/>
        <xdr:cNvSpPr>
          <a:spLocks/>
        </xdr:cNvSpPr>
      </xdr:nvSpPr>
      <xdr:spPr>
        <a:xfrm rot="10800000">
          <a:off x="4867275" y="2209800"/>
          <a:ext cx="523875" cy="257175"/>
        </a:xfrm>
        <a:prstGeom prst="rightArrow">
          <a:avLst>
            <a:gd name="adj" fmla="val 26810"/>
          </a:avLst>
        </a:prstGeom>
        <a:solidFill>
          <a:srgbClr val="FFFF00"/>
        </a:solidFill>
        <a:ln w="25400" cmpd="sng">
          <a:solidFill>
            <a:srgbClr val="C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190500</xdr:colOff>
      <xdr:row>21</xdr:row>
      <xdr:rowOff>76200</xdr:rowOff>
    </xdr:from>
    <xdr:to>
      <xdr:col>3</xdr:col>
      <xdr:colOff>419100</xdr:colOff>
      <xdr:row>22</xdr:row>
      <xdr:rowOff>142875</xdr:rowOff>
    </xdr:to>
    <xdr:sp>
      <xdr:nvSpPr>
        <xdr:cNvPr id="2" name="Isosceles Triangle 3"/>
        <xdr:cNvSpPr>
          <a:spLocks/>
        </xdr:cNvSpPr>
      </xdr:nvSpPr>
      <xdr:spPr>
        <a:xfrm rot="16200000">
          <a:off x="5019675" y="4191000"/>
          <a:ext cx="228600" cy="276225"/>
        </a:xfrm>
        <a:prstGeom prst="triangle">
          <a:avLst/>
        </a:prstGeom>
        <a:solidFill>
          <a:srgbClr val="C00000"/>
        </a:solidFill>
        <a:ln w="25400" cmpd="sng">
          <a:solidFill>
            <a:srgbClr val="C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4</xdr:col>
      <xdr:colOff>219075</xdr:colOff>
      <xdr:row>1</xdr:row>
      <xdr:rowOff>76200</xdr:rowOff>
    </xdr:from>
    <xdr:to>
      <xdr:col>8</xdr:col>
      <xdr:colOff>400050</xdr:colOff>
      <xdr:row>9</xdr:row>
      <xdr:rowOff>76200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7850" y="342900"/>
          <a:ext cx="2143125" cy="1562100"/>
        </a:xfrm>
        <a:prstGeom prst="rect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"/>
  <sheetViews>
    <sheetView zoomScalePageLayoutView="0" workbookViewId="0" topLeftCell="A1">
      <selection activeCell="F23" sqref="F23"/>
    </sheetView>
  </sheetViews>
  <sheetFormatPr defaultColWidth="9.140625" defaultRowHeight="15"/>
  <cols>
    <col min="1" max="1" width="48.57421875" style="0" customWidth="1"/>
    <col min="3" max="3" width="9.57421875" style="0" bestFit="1" customWidth="1"/>
    <col min="5" max="5" width="6.00390625" style="0" customWidth="1"/>
    <col min="6" max="6" width="5.140625" style="0" customWidth="1"/>
  </cols>
  <sheetData>
    <row r="1" ht="21">
      <c r="A1" s="1" t="s">
        <v>17</v>
      </c>
    </row>
    <row r="3" spans="1:8" ht="15">
      <c r="A3" s="2" t="s">
        <v>14</v>
      </c>
      <c r="B3" s="29" t="s">
        <v>1</v>
      </c>
      <c r="C3" s="44">
        <v>1</v>
      </c>
      <c r="E3" s="2" t="s">
        <v>29</v>
      </c>
      <c r="F3" s="13"/>
      <c r="G3" s="13"/>
      <c r="H3" s="14"/>
    </row>
    <row r="4" spans="1:8" ht="15">
      <c r="A4" s="3" t="s">
        <v>0</v>
      </c>
      <c r="B4" s="30" t="s">
        <v>2</v>
      </c>
      <c r="C4" s="19">
        <v>1</v>
      </c>
      <c r="E4" s="10" t="s">
        <v>24</v>
      </c>
      <c r="F4" s="11">
        <f>IF(C3*C4&lt;0.7,0.7,C3*C4)</f>
        <v>1</v>
      </c>
      <c r="G4" s="16"/>
      <c r="H4" s="9"/>
    </row>
    <row r="5" spans="1:8" ht="15">
      <c r="A5" s="3" t="s">
        <v>31</v>
      </c>
      <c r="B5" s="30" t="s">
        <v>30</v>
      </c>
      <c r="C5" s="42">
        <v>525</v>
      </c>
      <c r="E5" s="40"/>
      <c r="F5" s="41"/>
      <c r="G5" s="15"/>
      <c r="H5" s="15"/>
    </row>
    <row r="6" spans="1:8" ht="15">
      <c r="A6" s="3" t="s">
        <v>32</v>
      </c>
      <c r="B6" s="30" t="s">
        <v>33</v>
      </c>
      <c r="C6" s="45">
        <f>IF(C5&lt;510.01,1,1-((C5-510)/610))</f>
        <v>0.9754098360655737</v>
      </c>
      <c r="E6" s="40"/>
      <c r="F6" s="41"/>
      <c r="G6" s="15"/>
      <c r="H6" s="15"/>
    </row>
    <row r="7" spans="1:8" ht="15">
      <c r="A7" s="4" t="s">
        <v>4</v>
      </c>
      <c r="B7" s="31" t="s">
        <v>3</v>
      </c>
      <c r="C7" s="7">
        <v>82.68</v>
      </c>
      <c r="E7" s="15"/>
      <c r="F7" s="15"/>
      <c r="G7" s="15"/>
      <c r="H7" s="15"/>
    </row>
    <row r="9" spans="1:3" ht="15">
      <c r="A9" s="2" t="s">
        <v>11</v>
      </c>
      <c r="B9" s="33" t="s">
        <v>12</v>
      </c>
      <c r="C9" s="5">
        <v>273.2</v>
      </c>
    </row>
    <row r="10" spans="1:9" ht="16.5">
      <c r="A10" s="3" t="s">
        <v>5</v>
      </c>
      <c r="B10" s="30" t="s">
        <v>22</v>
      </c>
      <c r="C10" s="6">
        <v>12.77</v>
      </c>
      <c r="E10" s="12" t="s">
        <v>8</v>
      </c>
      <c r="F10" s="13"/>
      <c r="G10" s="13"/>
      <c r="H10" s="13"/>
      <c r="I10" s="14"/>
    </row>
    <row r="11" spans="1:9" ht="15">
      <c r="A11" s="3" t="s">
        <v>6</v>
      </c>
      <c r="B11" s="8"/>
      <c r="C11" s="17">
        <v>12.5</v>
      </c>
      <c r="E11" s="3" t="s">
        <v>13</v>
      </c>
      <c r="F11" s="15"/>
      <c r="G11" s="15"/>
      <c r="H11" s="15"/>
      <c r="I11" s="8"/>
    </row>
    <row r="12" spans="1:9" ht="15">
      <c r="A12" s="3" t="s">
        <v>10</v>
      </c>
      <c r="B12" s="54" t="s">
        <v>26</v>
      </c>
      <c r="C12" s="17">
        <v>1.6</v>
      </c>
      <c r="E12" s="4"/>
      <c r="F12" s="16"/>
      <c r="G12" s="16"/>
      <c r="H12" s="16"/>
      <c r="I12" s="9"/>
    </row>
    <row r="13" spans="1:9" ht="15">
      <c r="A13" s="4" t="s">
        <v>7</v>
      </c>
      <c r="B13" s="56"/>
      <c r="C13" s="18">
        <v>0</v>
      </c>
      <c r="E13" s="15"/>
      <c r="F13" s="15"/>
      <c r="G13" s="15"/>
      <c r="H13" s="15"/>
      <c r="I13" s="15"/>
    </row>
    <row r="15" spans="1:3" ht="16.5">
      <c r="A15" s="20" t="s">
        <v>19</v>
      </c>
      <c r="B15" s="34" t="s">
        <v>9</v>
      </c>
      <c r="C15" s="21">
        <f>(100-C11)/100*C10-C13-C12</f>
        <v>9.57375</v>
      </c>
    </row>
    <row r="16" ht="15">
      <c r="B16" s="35"/>
    </row>
    <row r="17" spans="1:3" ht="15">
      <c r="A17" s="20" t="s">
        <v>15</v>
      </c>
      <c r="B17" s="34" t="s">
        <v>16</v>
      </c>
      <c r="C17" s="21">
        <f>2*C7*F4*C6*C15/(C9-C15)</f>
        <v>5.857482838851981</v>
      </c>
    </row>
    <row r="20" ht="21">
      <c r="A20" s="1" t="s">
        <v>18</v>
      </c>
    </row>
    <row r="22" spans="1:8" ht="15">
      <c r="A22" s="2" t="s">
        <v>14</v>
      </c>
      <c r="B22" s="25" t="s">
        <v>1</v>
      </c>
      <c r="C22" s="44">
        <v>1</v>
      </c>
      <c r="E22" s="2" t="s">
        <v>29</v>
      </c>
      <c r="F22" s="13"/>
      <c r="G22" s="13"/>
      <c r="H22" s="14"/>
    </row>
    <row r="23" spans="1:8" ht="15">
      <c r="A23" s="3" t="s">
        <v>0</v>
      </c>
      <c r="B23" s="26" t="s">
        <v>2</v>
      </c>
      <c r="C23" s="19">
        <v>1</v>
      </c>
      <c r="E23" s="28" t="s">
        <v>25</v>
      </c>
      <c r="F23" s="48">
        <f>IF(C22*C23&lt;0.7,0.7,C22*C23)</f>
        <v>1</v>
      </c>
      <c r="G23" s="16"/>
      <c r="H23" s="9"/>
    </row>
    <row r="24" spans="1:8" ht="15">
      <c r="A24" s="3" t="s">
        <v>34</v>
      </c>
      <c r="B24" s="26" t="s">
        <v>30</v>
      </c>
      <c r="C24" s="19">
        <v>525</v>
      </c>
      <c r="E24" s="15"/>
      <c r="F24" s="41"/>
      <c r="G24" s="15"/>
      <c r="H24" s="15"/>
    </row>
    <row r="25" spans="1:8" ht="15">
      <c r="A25" s="3" t="s">
        <v>32</v>
      </c>
      <c r="B25" s="26" t="s">
        <v>33</v>
      </c>
      <c r="C25" s="47">
        <f>IF(C24&lt;510.01,1,1-((C24-510)/610))</f>
        <v>0.9754098360655737</v>
      </c>
      <c r="E25" s="15"/>
      <c r="F25" s="41"/>
      <c r="G25" s="15"/>
      <c r="H25" s="15"/>
    </row>
    <row r="26" spans="1:8" ht="15">
      <c r="A26" s="4" t="s">
        <v>4</v>
      </c>
      <c r="B26" s="27" t="s">
        <v>3</v>
      </c>
      <c r="C26" s="7">
        <v>82.68</v>
      </c>
      <c r="E26" s="15"/>
      <c r="F26" s="15"/>
      <c r="G26" s="15"/>
      <c r="H26" s="15"/>
    </row>
    <row r="27" ht="15">
      <c r="B27" s="24"/>
    </row>
    <row r="28" spans="1:3" ht="15">
      <c r="A28" s="2" t="s">
        <v>11</v>
      </c>
      <c r="B28" s="29" t="s">
        <v>12</v>
      </c>
      <c r="C28" s="32">
        <v>273.2</v>
      </c>
    </row>
    <row r="29" spans="1:9" ht="15">
      <c r="A29" s="3" t="s">
        <v>20</v>
      </c>
      <c r="B29" s="30"/>
      <c r="C29" s="17">
        <v>12.5</v>
      </c>
      <c r="E29" s="12" t="s">
        <v>8</v>
      </c>
      <c r="F29" s="13"/>
      <c r="G29" s="13"/>
      <c r="H29" s="13"/>
      <c r="I29" s="14"/>
    </row>
    <row r="30" spans="1:9" ht="15">
      <c r="A30" s="3" t="s">
        <v>10</v>
      </c>
      <c r="B30" s="54" t="s">
        <v>26</v>
      </c>
      <c r="C30" s="17">
        <v>1.6</v>
      </c>
      <c r="E30" s="3" t="s">
        <v>21</v>
      </c>
      <c r="F30" s="15"/>
      <c r="G30" s="15"/>
      <c r="H30" s="15"/>
      <c r="I30" s="8"/>
    </row>
    <row r="31" spans="1:9" ht="15">
      <c r="A31" s="4" t="s">
        <v>7</v>
      </c>
      <c r="B31" s="55"/>
      <c r="C31" s="18">
        <v>0</v>
      </c>
      <c r="E31" s="4"/>
      <c r="F31" s="16"/>
      <c r="G31" s="16"/>
      <c r="H31" s="16"/>
      <c r="I31" s="9"/>
    </row>
    <row r="32" spans="1:9" ht="15">
      <c r="A32" s="15"/>
      <c r="B32" s="36"/>
      <c r="C32" s="37"/>
      <c r="E32" s="15"/>
      <c r="F32" s="15"/>
      <c r="G32" s="15"/>
      <c r="H32" s="15"/>
      <c r="I32" s="15"/>
    </row>
    <row r="33" spans="1:9" ht="15">
      <c r="A33" s="20" t="s">
        <v>27</v>
      </c>
      <c r="B33" s="38" t="s">
        <v>28</v>
      </c>
      <c r="C33" s="39">
        <v>5.82</v>
      </c>
      <c r="E33" s="15"/>
      <c r="F33" s="15"/>
      <c r="G33" s="15"/>
      <c r="H33" s="15"/>
      <c r="I33" s="15"/>
    </row>
    <row r="34" spans="2:3" ht="15">
      <c r="B34" s="22"/>
      <c r="C34" s="23"/>
    </row>
    <row r="35" spans="1:3" ht="16.5">
      <c r="A35" s="20" t="s">
        <v>19</v>
      </c>
      <c r="B35" s="34" t="s">
        <v>9</v>
      </c>
      <c r="C35" s="21">
        <f>(C33*C28)/((2*C26*F23*C25)+C33)</f>
        <v>9.514619862388832</v>
      </c>
    </row>
    <row r="37" spans="1:5" ht="16.5">
      <c r="A37" s="20" t="s">
        <v>35</v>
      </c>
      <c r="B37" s="34" t="s">
        <v>23</v>
      </c>
      <c r="C37" s="21">
        <f>100*(C35+C31+C30)/((100-C29))</f>
        <v>12.70242269987295</v>
      </c>
      <c r="E37" t="s">
        <v>57</v>
      </c>
    </row>
  </sheetData>
  <sheetProtection/>
  <mergeCells count="2">
    <mergeCell ref="B30:B31"/>
    <mergeCell ref="B12:B1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8"/>
  <sheetViews>
    <sheetView tabSelected="1" zoomScale="101" zoomScaleNormal="101" zoomScalePageLayoutView="0" workbookViewId="0" topLeftCell="A1">
      <selection activeCell="R18" sqref="R18"/>
    </sheetView>
  </sheetViews>
  <sheetFormatPr defaultColWidth="9.140625" defaultRowHeight="15"/>
  <cols>
    <col min="1" max="1" width="53.7109375" style="0" customWidth="1"/>
    <col min="3" max="3" width="9.57421875" style="0" bestFit="1" customWidth="1"/>
    <col min="5" max="5" width="6.00390625" style="0" customWidth="1"/>
    <col min="6" max="6" width="5.140625" style="0" customWidth="1"/>
  </cols>
  <sheetData>
    <row r="1" ht="21">
      <c r="A1" s="1" t="s">
        <v>36</v>
      </c>
    </row>
    <row r="3" spans="1:8" ht="16.5">
      <c r="A3" s="2" t="s">
        <v>38</v>
      </c>
      <c r="B3" s="29" t="s">
        <v>37</v>
      </c>
      <c r="C3" s="44">
        <v>1</v>
      </c>
      <c r="D3" s="41" t="s">
        <v>52</v>
      </c>
      <c r="E3" s="41"/>
      <c r="F3" s="41"/>
      <c r="G3" s="41"/>
      <c r="H3" s="41"/>
    </row>
    <row r="4" spans="1:8" ht="15">
      <c r="A4" s="3" t="s">
        <v>41</v>
      </c>
      <c r="B4" s="30" t="s">
        <v>42</v>
      </c>
      <c r="C4" s="19">
        <v>0.4</v>
      </c>
      <c r="D4" s="41"/>
      <c r="E4" s="43"/>
      <c r="F4" s="41"/>
      <c r="G4" s="41"/>
      <c r="H4" s="41"/>
    </row>
    <row r="5" spans="1:8" ht="15">
      <c r="A5" s="3" t="s">
        <v>31</v>
      </c>
      <c r="B5" s="30" t="s">
        <v>30</v>
      </c>
      <c r="C5" s="42">
        <v>525</v>
      </c>
      <c r="D5" s="41" t="s">
        <v>51</v>
      </c>
      <c r="E5" s="43"/>
      <c r="F5" s="41"/>
      <c r="G5" s="41"/>
      <c r="H5" s="41"/>
    </row>
    <row r="6" spans="1:8" ht="15">
      <c r="A6" s="3" t="s">
        <v>46</v>
      </c>
      <c r="B6" s="30" t="s">
        <v>33</v>
      </c>
      <c r="C6" s="45">
        <f>IF(C5&lt;510.01,1,1-((C5-510)/610))</f>
        <v>0.9754098360655737</v>
      </c>
      <c r="E6" s="40"/>
      <c r="F6" s="41"/>
      <c r="G6" s="15"/>
      <c r="H6" s="15"/>
    </row>
    <row r="7" spans="1:8" ht="15">
      <c r="A7" s="4" t="s">
        <v>39</v>
      </c>
      <c r="B7" s="31" t="s">
        <v>40</v>
      </c>
      <c r="C7" s="7">
        <v>97.3</v>
      </c>
      <c r="D7" t="s">
        <v>53</v>
      </c>
      <c r="E7" s="15"/>
      <c r="F7" s="15"/>
      <c r="G7" s="15"/>
      <c r="H7" s="15"/>
    </row>
    <row r="9" spans="1:4" ht="15">
      <c r="A9" s="2" t="s">
        <v>11</v>
      </c>
      <c r="B9" s="33" t="s">
        <v>12</v>
      </c>
      <c r="C9" s="32">
        <f>10.75*25.41</f>
        <v>273.1575</v>
      </c>
      <c r="D9" t="s">
        <v>54</v>
      </c>
    </row>
    <row r="10" spans="1:9" ht="16.5">
      <c r="A10" s="3" t="s">
        <v>5</v>
      </c>
      <c r="B10" s="30" t="s">
        <v>22</v>
      </c>
      <c r="C10" s="6">
        <v>12.77</v>
      </c>
      <c r="E10" s="12" t="s">
        <v>8</v>
      </c>
      <c r="F10" s="13"/>
      <c r="G10" s="13"/>
      <c r="H10" s="13"/>
      <c r="I10" s="14"/>
    </row>
    <row r="11" spans="1:9" ht="15">
      <c r="A11" s="3" t="s">
        <v>6</v>
      </c>
      <c r="B11" s="8"/>
      <c r="C11" s="17">
        <v>12.5</v>
      </c>
      <c r="E11" s="3" t="s">
        <v>13</v>
      </c>
      <c r="F11" s="15"/>
      <c r="G11" s="15"/>
      <c r="H11" s="15"/>
      <c r="I11" s="8"/>
    </row>
    <row r="12" spans="1:9" ht="15">
      <c r="A12" s="3" t="s">
        <v>10</v>
      </c>
      <c r="B12" s="54" t="s">
        <v>43</v>
      </c>
      <c r="C12" s="17">
        <f>1/16*25.41</f>
        <v>1.588125</v>
      </c>
      <c r="E12" s="4"/>
      <c r="F12" s="16"/>
      <c r="G12" s="16"/>
      <c r="H12" s="16"/>
      <c r="I12" s="9"/>
    </row>
    <row r="13" spans="1:9" ht="15">
      <c r="A13" s="4" t="s">
        <v>7</v>
      </c>
      <c r="B13" s="56"/>
      <c r="C13" s="18">
        <v>0</v>
      </c>
      <c r="E13" s="15"/>
      <c r="F13" s="15"/>
      <c r="G13" s="15"/>
      <c r="H13" s="15"/>
      <c r="I13" s="15"/>
    </row>
    <row r="15" spans="1:3" ht="15">
      <c r="A15" s="20" t="s">
        <v>44</v>
      </c>
      <c r="B15" s="34" t="s">
        <v>45</v>
      </c>
      <c r="C15" s="21">
        <f>(100-C11)/100*C10-C13-C12</f>
        <v>9.585625</v>
      </c>
    </row>
    <row r="16" ht="15">
      <c r="B16" s="35"/>
    </row>
    <row r="17" spans="1:3" ht="15">
      <c r="A17" s="20" t="s">
        <v>47</v>
      </c>
      <c r="B17" s="34" t="s">
        <v>16</v>
      </c>
      <c r="C17" s="21">
        <f>(2*C15*C7*C3*C6)/(C9-(2*C15*C4))</f>
        <v>6.853365119662578</v>
      </c>
    </row>
    <row r="20" ht="21">
      <c r="A20" s="1" t="s">
        <v>49</v>
      </c>
    </row>
    <row r="22" spans="1:8" ht="16.5">
      <c r="A22" s="2" t="s">
        <v>38</v>
      </c>
      <c r="B22" s="29" t="s">
        <v>37</v>
      </c>
      <c r="C22" s="44">
        <v>1</v>
      </c>
      <c r="D22" s="41" t="s">
        <v>52</v>
      </c>
      <c r="E22" s="15"/>
      <c r="F22" s="15"/>
      <c r="G22" s="15"/>
      <c r="H22" s="15"/>
    </row>
    <row r="23" spans="1:8" ht="15">
      <c r="A23" s="3" t="s">
        <v>41</v>
      </c>
      <c r="B23" s="30" t="s">
        <v>42</v>
      </c>
      <c r="C23" s="19">
        <v>0.4</v>
      </c>
      <c r="E23" s="15"/>
      <c r="F23" s="41"/>
      <c r="G23" s="15"/>
      <c r="H23" s="15"/>
    </row>
    <row r="24" spans="1:8" ht="15">
      <c r="A24" s="3" t="s">
        <v>31</v>
      </c>
      <c r="B24" s="30" t="s">
        <v>30</v>
      </c>
      <c r="C24" s="42">
        <v>525</v>
      </c>
      <c r="D24" s="41" t="s">
        <v>51</v>
      </c>
      <c r="E24" s="15"/>
      <c r="F24" s="41"/>
      <c r="G24" s="15"/>
      <c r="H24" s="15"/>
    </row>
    <row r="25" spans="1:8" ht="15">
      <c r="A25" s="3" t="s">
        <v>46</v>
      </c>
      <c r="B25" s="30" t="s">
        <v>33</v>
      </c>
      <c r="C25" s="45">
        <f>IF(C24&lt;510.01,1,1-((C24-510)/610))</f>
        <v>0.9754098360655737</v>
      </c>
      <c r="E25" s="15"/>
      <c r="F25" s="41"/>
      <c r="G25" s="15"/>
      <c r="H25" s="15"/>
    </row>
    <row r="26" spans="1:8" ht="15">
      <c r="A26" s="4" t="s">
        <v>39</v>
      </c>
      <c r="B26" s="31" t="s">
        <v>40</v>
      </c>
      <c r="C26" s="7">
        <v>97.3</v>
      </c>
      <c r="D26" t="s">
        <v>53</v>
      </c>
      <c r="E26" s="15"/>
      <c r="F26" s="15"/>
      <c r="G26" s="15"/>
      <c r="H26" s="15"/>
    </row>
    <row r="27" ht="15">
      <c r="B27" s="24"/>
    </row>
    <row r="28" spans="1:4" ht="15">
      <c r="A28" s="2" t="s">
        <v>11</v>
      </c>
      <c r="B28" s="29" t="s">
        <v>12</v>
      </c>
      <c r="C28" s="32">
        <f>10.75*25.41</f>
        <v>273.1575</v>
      </c>
      <c r="D28" t="s">
        <v>54</v>
      </c>
    </row>
    <row r="29" spans="1:9" ht="15">
      <c r="A29" s="3" t="s">
        <v>20</v>
      </c>
      <c r="B29" s="30"/>
      <c r="C29" s="17">
        <v>12.5</v>
      </c>
      <c r="E29" s="12" t="s">
        <v>8</v>
      </c>
      <c r="F29" s="13"/>
      <c r="G29" s="13"/>
      <c r="H29" s="13"/>
      <c r="I29" s="14"/>
    </row>
    <row r="30" spans="1:9" ht="15">
      <c r="A30" s="3" t="s">
        <v>10</v>
      </c>
      <c r="B30" s="54" t="s">
        <v>26</v>
      </c>
      <c r="C30" s="17">
        <f>1/16*25.41</f>
        <v>1.588125</v>
      </c>
      <c r="E30" s="3" t="s">
        <v>21</v>
      </c>
      <c r="F30" s="15"/>
      <c r="G30" s="15"/>
      <c r="H30" s="15"/>
      <c r="I30" s="8"/>
    </row>
    <row r="31" spans="1:9" ht="15">
      <c r="A31" s="4" t="s">
        <v>7</v>
      </c>
      <c r="B31" s="55"/>
      <c r="C31" s="18">
        <v>0</v>
      </c>
      <c r="E31" s="4"/>
      <c r="F31" s="16"/>
      <c r="G31" s="16"/>
      <c r="H31" s="16"/>
      <c r="I31" s="9"/>
    </row>
    <row r="32" spans="1:9" ht="15">
      <c r="A32" s="15"/>
      <c r="B32" s="36"/>
      <c r="C32" s="37"/>
      <c r="E32" s="15"/>
      <c r="F32" s="15"/>
      <c r="G32" s="15"/>
      <c r="H32" s="15"/>
      <c r="I32" s="15"/>
    </row>
    <row r="33" spans="1:9" ht="15">
      <c r="A33" s="20" t="s">
        <v>27</v>
      </c>
      <c r="B33" s="38" t="s">
        <v>48</v>
      </c>
      <c r="C33" s="39">
        <f>0.845*6.89</f>
        <v>5.82205</v>
      </c>
      <c r="D33" t="s">
        <v>55</v>
      </c>
      <c r="E33" s="15"/>
      <c r="F33" s="15"/>
      <c r="G33" s="15"/>
      <c r="H33" s="15"/>
      <c r="I33" s="15"/>
    </row>
    <row r="34" spans="2:3" ht="15">
      <c r="B34" s="22"/>
      <c r="C34" s="23"/>
    </row>
    <row r="35" spans="1:5" ht="15">
      <c r="A35" s="20" t="s">
        <v>44</v>
      </c>
      <c r="B35" s="34" t="s">
        <v>45</v>
      </c>
      <c r="C35" s="21">
        <f>(C33*C28)/(2*((C26*C22*C25)+(C33*C23)))</f>
        <v>8.177698589295078</v>
      </c>
      <c r="D35" s="46">
        <f>C35/25.41</f>
        <v>0.3218299326759181</v>
      </c>
      <c r="E35" t="s">
        <v>56</v>
      </c>
    </row>
    <row r="37" spans="1:6" ht="16.5">
      <c r="A37" s="20" t="s">
        <v>50</v>
      </c>
      <c r="B37" s="34" t="s">
        <v>23</v>
      </c>
      <c r="C37" s="21">
        <f>100*(C35+C31+C30)/((100-C29))</f>
        <v>11.16094124490866</v>
      </c>
      <c r="E37">
        <f>C37/25.41</f>
        <v>0.43923420877247776</v>
      </c>
      <c r="F37" t="s">
        <v>56</v>
      </c>
    </row>
    <row r="38" ht="15">
      <c r="E38" t="s">
        <v>58</v>
      </c>
    </row>
  </sheetData>
  <sheetProtection/>
  <mergeCells count="2">
    <mergeCell ref="B12:B13"/>
    <mergeCell ref="B30:B3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5"/>
  <sheetViews>
    <sheetView zoomScalePageLayoutView="0" workbookViewId="0" topLeftCell="A10">
      <selection activeCell="G17" sqref="G17"/>
    </sheetView>
  </sheetViews>
  <sheetFormatPr defaultColWidth="9.140625" defaultRowHeight="15"/>
  <cols>
    <col min="1" max="1" width="48.57421875" style="0" customWidth="1"/>
    <col min="3" max="3" width="9.57421875" style="0" bestFit="1" customWidth="1"/>
    <col min="5" max="5" width="6.00390625" style="0" customWidth="1"/>
    <col min="6" max="6" width="5.140625" style="0" customWidth="1"/>
  </cols>
  <sheetData>
    <row r="1" ht="21">
      <c r="A1" s="1" t="s">
        <v>72</v>
      </c>
    </row>
    <row r="3" spans="1:8" ht="15">
      <c r="A3" s="2" t="s">
        <v>14</v>
      </c>
      <c r="B3" s="25" t="s">
        <v>1</v>
      </c>
      <c r="C3" s="44">
        <v>1</v>
      </c>
      <c r="E3" s="2" t="s">
        <v>29</v>
      </c>
      <c r="F3" s="13"/>
      <c r="G3" s="13"/>
      <c r="H3" s="14"/>
    </row>
    <row r="4" spans="1:8" ht="15">
      <c r="A4" s="3" t="s">
        <v>0</v>
      </c>
      <c r="B4" s="26" t="s">
        <v>2</v>
      </c>
      <c r="C4" s="19">
        <v>1</v>
      </c>
      <c r="E4" s="28" t="s">
        <v>25</v>
      </c>
      <c r="F4" s="48">
        <f>IF(C3*C4&lt;0.7,0.7,C3*C4)</f>
        <v>1</v>
      </c>
      <c r="G4" s="16"/>
      <c r="H4" s="9"/>
    </row>
    <row r="5" spans="1:8" ht="15">
      <c r="A5" s="3" t="s">
        <v>34</v>
      </c>
      <c r="B5" s="26" t="s">
        <v>30</v>
      </c>
      <c r="C5" s="19">
        <v>525</v>
      </c>
      <c r="E5" s="15"/>
      <c r="F5" s="41"/>
      <c r="G5" s="15"/>
      <c r="H5" s="15"/>
    </row>
    <row r="6" spans="1:8" ht="15">
      <c r="A6" s="3" t="s">
        <v>32</v>
      </c>
      <c r="B6" s="26" t="s">
        <v>33</v>
      </c>
      <c r="C6" s="47">
        <f>IF(C5&lt;510.01,1,1-((C5-510)/610))</f>
        <v>0.9754098360655737</v>
      </c>
      <c r="E6" s="15"/>
      <c r="F6" s="41"/>
      <c r="G6" s="15"/>
      <c r="H6" s="15"/>
    </row>
    <row r="7" spans="1:8" ht="16.5">
      <c r="A7" s="3" t="s">
        <v>59</v>
      </c>
      <c r="B7" s="26" t="s">
        <v>60</v>
      </c>
      <c r="C7" s="42">
        <v>1270</v>
      </c>
      <c r="E7" s="15"/>
      <c r="F7" s="41"/>
      <c r="G7" s="15"/>
      <c r="H7" s="15"/>
    </row>
    <row r="8" spans="1:8" ht="15">
      <c r="A8" s="4" t="s">
        <v>4</v>
      </c>
      <c r="B8" s="27" t="s">
        <v>3</v>
      </c>
      <c r="C8" s="7">
        <v>82.68</v>
      </c>
      <c r="E8" s="15"/>
      <c r="F8" s="15"/>
      <c r="G8" s="15"/>
      <c r="H8" s="15"/>
    </row>
    <row r="9" ht="15">
      <c r="B9" s="24"/>
    </row>
    <row r="10" spans="1:3" ht="15">
      <c r="A10" s="2" t="s">
        <v>11</v>
      </c>
      <c r="B10" s="29" t="s">
        <v>12</v>
      </c>
      <c r="C10" s="32">
        <v>273.2</v>
      </c>
    </row>
    <row r="11" spans="1:9" ht="15">
      <c r="A11" s="3" t="s">
        <v>20</v>
      </c>
      <c r="B11" s="30"/>
      <c r="C11" s="17">
        <v>12.5</v>
      </c>
      <c r="E11" s="12" t="s">
        <v>8</v>
      </c>
      <c r="F11" s="13"/>
      <c r="G11" s="13"/>
      <c r="H11" s="13"/>
      <c r="I11" s="14"/>
    </row>
    <row r="12" spans="1:9" ht="15">
      <c r="A12" s="3" t="s">
        <v>10</v>
      </c>
      <c r="B12" s="54" t="s">
        <v>26</v>
      </c>
      <c r="C12" s="17">
        <v>1.6</v>
      </c>
      <c r="E12" s="3" t="s">
        <v>21</v>
      </c>
      <c r="F12" s="15"/>
      <c r="G12" s="15"/>
      <c r="H12" s="15"/>
      <c r="I12" s="8"/>
    </row>
    <row r="13" spans="1:9" ht="15">
      <c r="A13" s="4" t="s">
        <v>7</v>
      </c>
      <c r="B13" s="55"/>
      <c r="C13" s="18">
        <v>0</v>
      </c>
      <c r="E13" s="4"/>
      <c r="F13" s="16"/>
      <c r="G13" s="16"/>
      <c r="H13" s="16"/>
      <c r="I13" s="9"/>
    </row>
    <row r="14" spans="1:9" ht="15">
      <c r="A14" s="15"/>
      <c r="B14" s="36"/>
      <c r="C14" s="37"/>
      <c r="E14" s="15"/>
      <c r="F14" s="15"/>
      <c r="G14" s="15"/>
      <c r="H14" s="15"/>
      <c r="I14" s="15"/>
    </row>
    <row r="15" spans="1:9" ht="15">
      <c r="A15" s="20" t="s">
        <v>27</v>
      </c>
      <c r="B15" s="38" t="s">
        <v>28</v>
      </c>
      <c r="C15" s="39">
        <v>5.82</v>
      </c>
      <c r="E15" s="15"/>
      <c r="F15" s="15"/>
      <c r="G15" s="15"/>
      <c r="H15" s="15"/>
      <c r="I15" s="15"/>
    </row>
    <row r="16" spans="2:3" ht="15">
      <c r="B16" s="22"/>
      <c r="C16" s="23"/>
    </row>
    <row r="17" spans="1:3" ht="15">
      <c r="A17" s="2" t="s">
        <v>63</v>
      </c>
      <c r="B17" s="29" t="s">
        <v>65</v>
      </c>
      <c r="C17" s="52">
        <f>(4*($C$7/$C$10)-1)/((4*($C$7/$C$10)-2))</f>
        <v>1.06026116110817</v>
      </c>
    </row>
    <row r="18" spans="1:3" ht="15">
      <c r="A18" s="3" t="s">
        <v>64</v>
      </c>
      <c r="B18" s="30" t="s">
        <v>65</v>
      </c>
      <c r="C18" s="47">
        <f>(4*($C$7/$C$10)+1)/((4*($C$7/$C$10)+2))</f>
        <v>0.9514431963600171</v>
      </c>
    </row>
    <row r="19" spans="1:5" ht="16.5">
      <c r="A19" s="3" t="s">
        <v>61</v>
      </c>
      <c r="B19" s="30" t="s">
        <v>9</v>
      </c>
      <c r="C19" s="50">
        <f>($C$15*$C$10)/((2*($C$8*$F$4*C17*$C$6))+$C$15)</f>
        <v>8.991643646367491</v>
      </c>
      <c r="E19" s="53" t="s">
        <v>77</v>
      </c>
    </row>
    <row r="20" spans="1:5" ht="16.5">
      <c r="A20" s="4" t="s">
        <v>62</v>
      </c>
      <c r="B20" s="31" t="s">
        <v>9</v>
      </c>
      <c r="C20" s="49">
        <f>($C$15*$C$10)/((2*($C$8*$F$4*C18*$C$6))+$C$15)</f>
        <v>9.982454967017846</v>
      </c>
      <c r="E20" s="53" t="s">
        <v>78</v>
      </c>
    </row>
    <row r="22" spans="1:5" ht="16.5">
      <c r="A22" s="2" t="s">
        <v>66</v>
      </c>
      <c r="B22" s="29" t="s">
        <v>23</v>
      </c>
      <c r="C22" s="51">
        <f>100*(C19+$C$13+$C$12)/((100-$C$11))</f>
        <v>12.10473559584856</v>
      </c>
      <c r="E22" t="s">
        <v>68</v>
      </c>
    </row>
    <row r="23" spans="1:5" ht="16.5">
      <c r="A23" s="4" t="s">
        <v>67</v>
      </c>
      <c r="B23" s="31" t="s">
        <v>23</v>
      </c>
      <c r="C23" s="49">
        <f>100*(C20+$C$13+$C$12)/((100-$C$11))</f>
        <v>13.237091390877538</v>
      </c>
      <c r="E23" t="s">
        <v>69</v>
      </c>
    </row>
    <row r="24" ht="15">
      <c r="E24" t="s">
        <v>70</v>
      </c>
    </row>
    <row r="25" ht="15">
      <c r="E25" t="s">
        <v>71</v>
      </c>
    </row>
  </sheetData>
  <sheetProtection/>
  <mergeCells count="1">
    <mergeCell ref="B12:B1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5"/>
  <sheetViews>
    <sheetView zoomScalePageLayoutView="0" workbookViewId="0" topLeftCell="A10">
      <selection activeCell="C26" sqref="C26"/>
    </sheetView>
  </sheetViews>
  <sheetFormatPr defaultColWidth="9.140625" defaultRowHeight="15"/>
  <cols>
    <col min="1" max="1" width="53.7109375" style="0" customWidth="1"/>
    <col min="3" max="3" width="9.57421875" style="0" bestFit="1" customWidth="1"/>
    <col min="5" max="5" width="6.00390625" style="0" customWidth="1"/>
    <col min="6" max="6" width="5.140625" style="0" customWidth="1"/>
  </cols>
  <sheetData>
    <row r="1" ht="21">
      <c r="A1" s="1" t="s">
        <v>73</v>
      </c>
    </row>
    <row r="3" spans="1:8" ht="16.5">
      <c r="A3" s="2" t="s">
        <v>38</v>
      </c>
      <c r="B3" s="29" t="s">
        <v>37</v>
      </c>
      <c r="C3" s="44">
        <v>1</v>
      </c>
      <c r="E3" s="15"/>
      <c r="F3" s="15"/>
      <c r="G3" s="15"/>
      <c r="H3" s="15"/>
    </row>
    <row r="4" spans="1:8" ht="15">
      <c r="A4" s="3" t="s">
        <v>41</v>
      </c>
      <c r="B4" s="30" t="s">
        <v>42</v>
      </c>
      <c r="C4" s="19">
        <v>0.4</v>
      </c>
      <c r="E4" s="41"/>
      <c r="F4" s="37"/>
      <c r="G4" s="41"/>
      <c r="H4" s="41"/>
    </row>
    <row r="5" spans="1:8" ht="15">
      <c r="A5" s="3" t="s">
        <v>34</v>
      </c>
      <c r="B5" s="26" t="s">
        <v>30</v>
      </c>
      <c r="C5" s="19">
        <v>525</v>
      </c>
      <c r="E5" s="15"/>
      <c r="F5" s="41"/>
      <c r="G5" s="15"/>
      <c r="H5" s="15"/>
    </row>
    <row r="6" spans="1:8" ht="15">
      <c r="A6" s="3" t="s">
        <v>46</v>
      </c>
      <c r="B6" s="26" t="s">
        <v>33</v>
      </c>
      <c r="C6" s="47">
        <f>IF(C5&lt;510.01,1,1-((C5-510)/610))</f>
        <v>0.9754098360655737</v>
      </c>
      <c r="E6" s="15"/>
      <c r="F6" s="41"/>
      <c r="G6" s="15"/>
      <c r="H6" s="15"/>
    </row>
    <row r="7" spans="1:8" ht="16.5">
      <c r="A7" s="3" t="s">
        <v>59</v>
      </c>
      <c r="B7" s="26" t="s">
        <v>60</v>
      </c>
      <c r="C7" s="42">
        <v>1270</v>
      </c>
      <c r="E7" s="15"/>
      <c r="F7" s="41"/>
      <c r="G7" s="15"/>
      <c r="H7" s="15"/>
    </row>
    <row r="8" spans="1:8" ht="15">
      <c r="A8" s="4" t="s">
        <v>39</v>
      </c>
      <c r="B8" s="31" t="s">
        <v>40</v>
      </c>
      <c r="C8" s="7">
        <v>82.68</v>
      </c>
      <c r="E8" s="15"/>
      <c r="F8" s="15"/>
      <c r="G8" s="15"/>
      <c r="H8" s="15"/>
    </row>
    <row r="9" ht="15">
      <c r="B9" s="24"/>
    </row>
    <row r="10" spans="1:3" ht="15">
      <c r="A10" s="2" t="s">
        <v>11</v>
      </c>
      <c r="B10" s="29" t="s">
        <v>12</v>
      </c>
      <c r="C10" s="32">
        <v>273.2</v>
      </c>
    </row>
    <row r="11" spans="1:9" ht="15">
      <c r="A11" s="3" t="s">
        <v>20</v>
      </c>
      <c r="B11" s="30"/>
      <c r="C11" s="17">
        <v>12.5</v>
      </c>
      <c r="E11" s="12" t="s">
        <v>8</v>
      </c>
      <c r="F11" s="13"/>
      <c r="G11" s="13"/>
      <c r="H11" s="13"/>
      <c r="I11" s="14"/>
    </row>
    <row r="12" spans="1:9" ht="15">
      <c r="A12" s="3" t="s">
        <v>10</v>
      </c>
      <c r="B12" s="54" t="s">
        <v>26</v>
      </c>
      <c r="C12" s="17">
        <v>1.6</v>
      </c>
      <c r="E12" s="3" t="s">
        <v>21</v>
      </c>
      <c r="F12" s="15"/>
      <c r="G12" s="15"/>
      <c r="H12" s="15"/>
      <c r="I12" s="8"/>
    </row>
    <row r="13" spans="1:9" ht="15">
      <c r="A13" s="4" t="s">
        <v>7</v>
      </c>
      <c r="B13" s="55"/>
      <c r="C13" s="18">
        <v>0</v>
      </c>
      <c r="E13" s="4"/>
      <c r="F13" s="16"/>
      <c r="G13" s="16"/>
      <c r="H13" s="16"/>
      <c r="I13" s="9"/>
    </row>
    <row r="14" spans="1:9" ht="15">
      <c r="A14" s="15"/>
      <c r="B14" s="36"/>
      <c r="C14" s="37"/>
      <c r="E14" s="15"/>
      <c r="F14" s="15"/>
      <c r="G14" s="15"/>
      <c r="H14" s="15"/>
      <c r="I14" s="15"/>
    </row>
    <row r="15" spans="1:9" ht="15">
      <c r="A15" s="20" t="s">
        <v>74</v>
      </c>
      <c r="B15" s="38" t="s">
        <v>48</v>
      </c>
      <c r="C15" s="39">
        <v>5.82</v>
      </c>
      <c r="E15" s="15"/>
      <c r="F15" s="15"/>
      <c r="G15" s="15"/>
      <c r="H15" s="15"/>
      <c r="I15" s="15"/>
    </row>
    <row r="16" spans="2:3" ht="15">
      <c r="B16" s="22"/>
      <c r="C16" s="23"/>
    </row>
    <row r="17" spans="1:3" ht="15">
      <c r="A17" s="2" t="s">
        <v>63</v>
      </c>
      <c r="B17" s="29" t="s">
        <v>65</v>
      </c>
      <c r="C17" s="52">
        <f>(4*($C$7/$C$10)-1)/((4*($C$7/$C$10)-2))</f>
        <v>1.06026116110817</v>
      </c>
    </row>
    <row r="18" spans="1:3" ht="15">
      <c r="A18" s="3" t="s">
        <v>64</v>
      </c>
      <c r="B18" s="30" t="s">
        <v>65</v>
      </c>
      <c r="C18" s="47">
        <f>(4*($C$7/$C$10)+1)/((4*($C$7/$C$10)+2))</f>
        <v>0.9514431963600171</v>
      </c>
    </row>
    <row r="19" spans="1:3" ht="15">
      <c r="A19" s="3" t="s">
        <v>75</v>
      </c>
      <c r="B19" s="30" t="s">
        <v>45</v>
      </c>
      <c r="C19" s="50">
        <f>($C$15*$C$10)/(2*(($C$8*$C$3*$C$6/C17)+($C$15*$C$4)))</f>
        <v>10.141594049174323</v>
      </c>
    </row>
    <row r="20" spans="1:3" ht="15">
      <c r="A20" s="4" t="s">
        <v>76</v>
      </c>
      <c r="B20" s="31" t="s">
        <v>45</v>
      </c>
      <c r="C20" s="49">
        <f>($C$15*$C$10)/(2*(($C$8*$C$3*$C$6/C18)+($C$15*$C$4)))</f>
        <v>9.128553176198485</v>
      </c>
    </row>
    <row r="22" spans="1:5" ht="16.5">
      <c r="A22" s="2" t="s">
        <v>66</v>
      </c>
      <c r="B22" s="29" t="s">
        <v>23</v>
      </c>
      <c r="C22" s="51">
        <f>100*(C19+$C$13+$C$12)/((100-$C$11))</f>
        <v>13.418964627627798</v>
      </c>
      <c r="E22" t="s">
        <v>68</v>
      </c>
    </row>
    <row r="23" spans="1:5" ht="16.5">
      <c r="A23" s="4" t="s">
        <v>67</v>
      </c>
      <c r="B23" s="31" t="s">
        <v>23</v>
      </c>
      <c r="C23" s="49">
        <f>100*(C20+$C$13+$C$12)/((100-$C$11))</f>
        <v>12.261203629941125</v>
      </c>
      <c r="E23" t="s">
        <v>69</v>
      </c>
    </row>
    <row r="24" ht="15">
      <c r="E24" t="s">
        <v>70</v>
      </c>
    </row>
    <row r="25" ht="15">
      <c r="E25" t="s">
        <v>71</v>
      </c>
    </row>
  </sheetData>
  <sheetProtection/>
  <mergeCells count="1">
    <mergeCell ref="B12:B1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KASA Redberg Pty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Karl Danenbergsons</dc:creator>
  <cp:keywords/>
  <dc:description/>
  <cp:lastModifiedBy>Karl Danenbergsons</cp:lastModifiedBy>
  <dcterms:created xsi:type="dcterms:W3CDTF">2008-11-27T10:31:48Z</dcterms:created>
  <dcterms:modified xsi:type="dcterms:W3CDTF">2015-08-13T07:20:06Z</dcterms:modified>
  <cp:category/>
  <cp:version/>
  <cp:contentType/>
  <cp:contentStatus/>
</cp:coreProperties>
</file>