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17172" windowHeight="7356" firstSheet="3" activeTab="6"/>
  </bookViews>
  <sheets>
    <sheet name="KARAMANEV" sheetId="1" r:id="rId1"/>
    <sheet name="DCW " sheetId="2" r:id="rId2"/>
    <sheet name="WASC" sheetId="3" r:id="rId3"/>
    <sheet name="SIMPLIFIED WASC" sheetId="4" r:id="rId4"/>
    <sheet name="CHURCHILL EQN" sheetId="5" r:id="rId5"/>
    <sheet name="SYSTEM CURVE USING DCW &amp; CHURCH" sheetId="6" r:id="rId6"/>
    <sheet name="DURAND VL" sheetId="7" r:id="rId7"/>
  </sheets>
  <definedNames>
    <definedName name="_xlnm.Print_Area" localSheetId="4">'CHURCHILL EQN'!$A$1:$P$23</definedName>
    <definedName name="_xlnm.Print_Area" localSheetId="1">'DCW '!$A$1:$M$33</definedName>
    <definedName name="_xlnm.Print_Area" localSheetId="0">'KARAMANEV'!$A$1:$Q$27</definedName>
    <definedName name="_xlnm.Print_Area" localSheetId="5">'SYSTEM CURVE USING DCW &amp; CHURCH'!$A$1:$L$55</definedName>
  </definedNames>
  <calcPr fullCalcOnLoad="1"/>
</workbook>
</file>

<file path=xl/sharedStrings.xml><?xml version="1.0" encoding="utf-8"?>
<sst xmlns="http://schemas.openxmlformats.org/spreadsheetml/2006/main" count="302" uniqueCount="102">
  <si>
    <t>Given:</t>
  </si>
  <si>
    <r>
      <t>Drag Coefficient at Terminal Settling Velocity (C</t>
    </r>
    <r>
      <rPr>
        <i/>
        <vertAlign val="subscript"/>
        <sz val="11"/>
        <color indexed="8"/>
        <rFont val="Times New Roman"/>
        <family val="1"/>
      </rPr>
      <t>D</t>
    </r>
    <r>
      <rPr>
        <i/>
        <sz val="11"/>
        <color indexed="8"/>
        <rFont val="Times New Roman"/>
        <family val="1"/>
      </rPr>
      <t>*)</t>
    </r>
  </si>
  <si>
    <t>Dry Solids Specific Gravity (s)</t>
  </si>
  <si>
    <r>
      <t>Durand-Condolios Experimental Constant (</t>
    </r>
    <r>
      <rPr>
        <sz val="11"/>
        <color indexed="8"/>
        <rFont val="Calibri"/>
        <family val="2"/>
      </rPr>
      <t>Ω</t>
    </r>
    <r>
      <rPr>
        <i/>
        <sz val="11"/>
        <color indexed="8"/>
        <rFont val="Times New Roman"/>
        <family val="1"/>
      </rPr>
      <t>)</t>
    </r>
  </si>
  <si>
    <t>Pipe Inside Diameter (D)</t>
  </si>
  <si>
    <t>m/s</t>
  </si>
  <si>
    <t>-</t>
  </si>
  <si>
    <t>mm</t>
  </si>
  <si>
    <t>metres</t>
  </si>
  <si>
    <t>Input Values</t>
  </si>
  <si>
    <t>Calculated Values</t>
  </si>
  <si>
    <t>Calculated Values:</t>
  </si>
  <si>
    <t>Froude Number (Fr)</t>
  </si>
  <si>
    <t>Velocity (V)</t>
  </si>
  <si>
    <r>
      <t>Concentration by Volume (C</t>
    </r>
    <r>
      <rPr>
        <i/>
        <vertAlign val="subscript"/>
        <sz val="11"/>
        <color indexed="8"/>
        <rFont val="Times New Roman"/>
        <family val="1"/>
      </rPr>
      <t>V</t>
    </r>
    <r>
      <rPr>
        <i/>
        <sz val="11"/>
        <color indexed="8"/>
        <rFont val="Times New Roman"/>
        <family val="1"/>
      </rPr>
      <t>)</t>
    </r>
  </si>
  <si>
    <t>Decimal</t>
  </si>
  <si>
    <t>Volumetric Flow Rate (Q)</t>
  </si>
  <si>
    <r>
      <t>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/hr</t>
    </r>
  </si>
  <si>
    <t>litres/sec</t>
  </si>
  <si>
    <t>DURAND-CONDOLIOS-WORSTER CORRELATION (1970) FOR HEAD LOSS OF SETTLING SLURRIES</t>
  </si>
  <si>
    <r>
      <t>Excess Pressure Gradient (</t>
    </r>
    <r>
      <rPr>
        <sz val="11"/>
        <color indexed="8"/>
        <rFont val="Calibri"/>
        <family val="2"/>
      </rPr>
      <t>Φ</t>
    </r>
    <r>
      <rPr>
        <i/>
        <sz val="11"/>
        <color indexed="8"/>
        <rFont val="Times New Roman"/>
        <family val="1"/>
      </rPr>
      <t>)</t>
    </r>
  </si>
  <si>
    <t>CHURCHILL EQUATION FOR DETERMINING THE FRICTION FACTOR FOR NEWTONIAN FLUIDS IN ALL FLOW REGIMES</t>
  </si>
  <si>
    <t>Given Data:</t>
  </si>
  <si>
    <r>
      <t>Kinematic Viscosity (</t>
    </r>
    <r>
      <rPr>
        <sz val="11"/>
        <color indexed="8"/>
        <rFont val="Calibri"/>
        <family val="2"/>
      </rPr>
      <t>ν</t>
    </r>
    <r>
      <rPr>
        <i/>
        <sz val="11"/>
        <color indexed="8"/>
        <rFont val="Times New Roman"/>
        <family val="1"/>
      </rPr>
      <t>)</t>
    </r>
  </si>
  <si>
    <t>cSt</t>
  </si>
  <si>
    <r>
      <t>Pipe Specific Roughness (</t>
    </r>
    <r>
      <rPr>
        <sz val="11"/>
        <color indexed="8"/>
        <rFont val="Calibri"/>
        <family val="2"/>
      </rPr>
      <t>ε</t>
    </r>
    <r>
      <rPr>
        <i/>
        <sz val="11"/>
        <color indexed="8"/>
        <rFont val="Times New Roman"/>
        <family val="1"/>
      </rPr>
      <t>)</t>
    </r>
  </si>
  <si>
    <t>µm</t>
  </si>
  <si>
    <r>
      <t>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/sec</t>
    </r>
  </si>
  <si>
    <r>
      <t>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/sec</t>
    </r>
  </si>
  <si>
    <t>Calculated Data:</t>
  </si>
  <si>
    <r>
      <t>Reynolds Number - Newtonian (R</t>
    </r>
    <r>
      <rPr>
        <i/>
        <vertAlign val="subscript"/>
        <sz val="11"/>
        <color indexed="8"/>
        <rFont val="Times New Roman"/>
        <family val="1"/>
      </rPr>
      <t>N</t>
    </r>
    <r>
      <rPr>
        <i/>
        <sz val="11"/>
        <color indexed="8"/>
        <rFont val="Times New Roman"/>
        <family val="1"/>
      </rPr>
      <t>)</t>
    </r>
  </si>
  <si>
    <t>Pipe Length (L)</t>
  </si>
  <si>
    <r>
      <t>Darcy Friction Factor (f</t>
    </r>
    <r>
      <rPr>
        <i/>
        <vertAlign val="subscript"/>
        <sz val="11"/>
        <color indexed="8"/>
        <rFont val="Times New Roman"/>
        <family val="1"/>
      </rPr>
      <t>D</t>
    </r>
    <r>
      <rPr>
        <i/>
        <sz val="11"/>
        <color indexed="8"/>
        <rFont val="Times New Roman"/>
        <family val="1"/>
      </rPr>
      <t>)</t>
    </r>
  </si>
  <si>
    <t>A</t>
  </si>
  <si>
    <t>B</t>
  </si>
  <si>
    <r>
      <t>Head Loss in Straight Pipe (h</t>
    </r>
    <r>
      <rPr>
        <i/>
        <vertAlign val="subscript"/>
        <sz val="11"/>
        <color indexed="8"/>
        <rFont val="Times New Roman"/>
        <family val="1"/>
      </rPr>
      <t>f</t>
    </r>
    <r>
      <rPr>
        <i/>
        <sz val="11"/>
        <color indexed="8"/>
        <rFont val="Times New Roman"/>
        <family val="1"/>
      </rPr>
      <t>)</t>
    </r>
  </si>
  <si>
    <t>1+Φ</t>
  </si>
  <si>
    <t>The head loss for water alone can be found by using the Churchill Eqn for example</t>
  </si>
  <si>
    <t>Multiply the head loss for water alone by this value to get the head loss for slurry</t>
  </si>
  <si>
    <t>Velocity (m/s)</t>
  </si>
  <si>
    <t>SETTLING SLURRY SYSTEM CURVES USING DCW AND CHURCHILL WITH WATER AS THE CARRIER FLUID</t>
  </si>
  <si>
    <r>
      <t>R</t>
    </r>
    <r>
      <rPr>
        <b/>
        <i/>
        <vertAlign val="subscript"/>
        <sz val="11"/>
        <color indexed="8"/>
        <rFont val="Times New Roman"/>
        <family val="1"/>
      </rPr>
      <t>N</t>
    </r>
  </si>
  <si>
    <r>
      <t>f</t>
    </r>
    <r>
      <rPr>
        <b/>
        <i/>
        <vertAlign val="subscript"/>
        <sz val="11"/>
        <color indexed="8"/>
        <rFont val="Times New Roman"/>
        <family val="1"/>
      </rPr>
      <t>D</t>
    </r>
  </si>
  <si>
    <t>WATER</t>
  </si>
  <si>
    <t>Fr</t>
  </si>
  <si>
    <r>
      <t>1+</t>
    </r>
    <r>
      <rPr>
        <b/>
        <sz val="11"/>
        <color indexed="8"/>
        <rFont val="Calibri"/>
        <family val="2"/>
      </rPr>
      <t>Φ</t>
    </r>
  </si>
  <si>
    <t>SLURRY</t>
  </si>
  <si>
    <t>Head loss for water found</t>
  </si>
  <si>
    <t>using the Churchill Eqn</t>
  </si>
  <si>
    <t>Head loss for slurry found</t>
  </si>
  <si>
    <t>using Durand-Condolios-Worster</t>
  </si>
  <si>
    <r>
      <t>Slurry h</t>
    </r>
    <r>
      <rPr>
        <b/>
        <i/>
        <vertAlign val="subscript"/>
        <sz val="11"/>
        <color indexed="8"/>
        <rFont val="Times New Roman"/>
        <family val="1"/>
      </rPr>
      <t xml:space="preserve">f </t>
    </r>
    <r>
      <rPr>
        <b/>
        <i/>
        <sz val="11"/>
        <color indexed="8"/>
        <rFont val="Times New Roman"/>
        <family val="1"/>
      </rPr>
      <t>(m)</t>
    </r>
  </si>
  <si>
    <r>
      <t>Water h</t>
    </r>
    <r>
      <rPr>
        <b/>
        <i/>
        <vertAlign val="subscript"/>
        <sz val="11"/>
        <color indexed="8"/>
        <rFont val="Times New Roman"/>
        <family val="1"/>
      </rPr>
      <t xml:space="preserve">f </t>
    </r>
    <r>
      <rPr>
        <b/>
        <i/>
        <sz val="11"/>
        <color indexed="8"/>
        <rFont val="Times New Roman"/>
        <family val="1"/>
      </rPr>
      <t>(m)</t>
    </r>
  </si>
  <si>
    <t>CHURCHILL EQUATION</t>
  </si>
  <si>
    <t>DCW</t>
  </si>
  <si>
    <t>WILSON-ADDIE-SELGREN-CLIFT (1997) CORRELATION FOR HEAD LOSS OF A HETEROGENEOUS SETTLING SLURRY</t>
  </si>
  <si>
    <t>(aka "WASC Correlation")</t>
  </si>
  <si>
    <r>
      <t>kg/m</t>
    </r>
    <r>
      <rPr>
        <i/>
        <vertAlign val="superscript"/>
        <sz val="11"/>
        <color indexed="8"/>
        <rFont val="Times New Roman"/>
        <family val="1"/>
      </rPr>
      <t>3</t>
    </r>
  </si>
  <si>
    <r>
      <t>Coefficient of Sliding Friction Between Bed &amp; Pipe (</t>
    </r>
    <r>
      <rPr>
        <sz val="11"/>
        <color indexed="8"/>
        <rFont val="Calibri"/>
        <family val="2"/>
      </rPr>
      <t>µ</t>
    </r>
    <r>
      <rPr>
        <i/>
        <vertAlign val="subscript"/>
        <sz val="11"/>
        <color indexed="8"/>
        <rFont val="Times New Roman"/>
        <family val="1"/>
      </rPr>
      <t>s</t>
    </r>
    <r>
      <rPr>
        <i/>
        <sz val="11"/>
        <color indexed="8"/>
        <rFont val="Times New Roman"/>
        <family val="1"/>
      </rPr>
      <t>)</t>
    </r>
  </si>
  <si>
    <r>
      <t>Particle Size for 50% Cumulative Passing (d</t>
    </r>
    <r>
      <rPr>
        <i/>
        <vertAlign val="subscript"/>
        <sz val="11"/>
        <color indexed="8"/>
        <rFont val="Times New Roman"/>
        <family val="1"/>
      </rPr>
      <t>50</t>
    </r>
    <r>
      <rPr>
        <i/>
        <sz val="11"/>
        <color indexed="8"/>
        <rFont val="Times New Roman"/>
        <family val="1"/>
      </rPr>
      <t>)</t>
    </r>
  </si>
  <si>
    <t>Particle Size for 85% Cumulative Passing (d85)</t>
  </si>
  <si>
    <r>
      <t>Terminal Settling Velocity for d50 (v</t>
    </r>
    <r>
      <rPr>
        <i/>
        <vertAlign val="subscript"/>
        <sz val="11"/>
        <color indexed="8"/>
        <rFont val="Times New Roman"/>
        <family val="1"/>
      </rPr>
      <t>T50</t>
    </r>
    <r>
      <rPr>
        <i/>
        <sz val="11"/>
        <color indexed="8"/>
        <rFont val="Times New Roman"/>
        <family val="1"/>
      </rPr>
      <t>)</t>
    </r>
  </si>
  <si>
    <r>
      <t>Terminal Settling Velocity for d85 (v</t>
    </r>
    <r>
      <rPr>
        <i/>
        <vertAlign val="subscript"/>
        <sz val="11"/>
        <color indexed="8"/>
        <rFont val="Times New Roman"/>
        <family val="1"/>
      </rPr>
      <t>T85</t>
    </r>
    <r>
      <rPr>
        <i/>
        <sz val="11"/>
        <color indexed="8"/>
        <rFont val="Times New Roman"/>
        <family val="1"/>
      </rPr>
      <t>)</t>
    </r>
  </si>
  <si>
    <r>
      <t>Terminal Settling Velocity Factor for d</t>
    </r>
    <r>
      <rPr>
        <i/>
        <vertAlign val="subscript"/>
        <sz val="11"/>
        <color indexed="8"/>
        <rFont val="Times New Roman"/>
        <family val="1"/>
      </rPr>
      <t>50</t>
    </r>
    <r>
      <rPr>
        <i/>
        <sz val="11"/>
        <color indexed="8"/>
        <rFont val="Times New Roman"/>
        <family val="1"/>
      </rPr>
      <t xml:space="preserve"> Size (w</t>
    </r>
    <r>
      <rPr>
        <i/>
        <vertAlign val="subscript"/>
        <sz val="11"/>
        <color indexed="8"/>
        <rFont val="Times New Roman"/>
        <family val="1"/>
      </rPr>
      <t>50</t>
    </r>
    <r>
      <rPr>
        <i/>
        <sz val="11"/>
        <color indexed="8"/>
        <rFont val="Times New Roman"/>
        <family val="1"/>
      </rPr>
      <t>)</t>
    </r>
  </si>
  <si>
    <r>
      <t>Terminal Settling Velocity Factor for d</t>
    </r>
    <r>
      <rPr>
        <i/>
        <vertAlign val="subscript"/>
        <sz val="11"/>
        <color indexed="8"/>
        <rFont val="Times New Roman"/>
        <family val="1"/>
      </rPr>
      <t>85</t>
    </r>
    <r>
      <rPr>
        <i/>
        <sz val="11"/>
        <color indexed="8"/>
        <rFont val="Times New Roman"/>
        <family val="1"/>
      </rPr>
      <t xml:space="preserve"> Size (w</t>
    </r>
    <r>
      <rPr>
        <i/>
        <vertAlign val="subscript"/>
        <sz val="11"/>
        <color indexed="8"/>
        <rFont val="Times New Roman"/>
        <family val="1"/>
      </rPr>
      <t>85</t>
    </r>
    <r>
      <rPr>
        <i/>
        <sz val="11"/>
        <color indexed="8"/>
        <rFont val="Times New Roman"/>
        <family val="1"/>
      </rPr>
      <t>)</t>
    </r>
  </si>
  <si>
    <t>%</t>
  </si>
  <si>
    <r>
      <t>Density of Carrier Fluid (</t>
    </r>
    <r>
      <rPr>
        <sz val="11"/>
        <color indexed="8"/>
        <rFont val="Calibri"/>
        <family val="2"/>
      </rPr>
      <t>ρ</t>
    </r>
    <r>
      <rPr>
        <i/>
        <vertAlign val="subscript"/>
        <sz val="11"/>
        <color indexed="8"/>
        <rFont val="Times New Roman"/>
        <family val="1"/>
      </rPr>
      <t>f</t>
    </r>
    <r>
      <rPr>
        <i/>
        <sz val="11"/>
        <color indexed="8"/>
        <rFont val="Times New Roman"/>
        <family val="1"/>
      </rPr>
      <t>)</t>
    </r>
  </si>
  <si>
    <t>cP</t>
  </si>
  <si>
    <t>Pa.s</t>
  </si>
  <si>
    <r>
      <t>Carrier Fluid - Reynolds Number - Newtonian (R</t>
    </r>
    <r>
      <rPr>
        <i/>
        <vertAlign val="subscript"/>
        <sz val="11"/>
        <color indexed="8"/>
        <rFont val="Times New Roman"/>
        <family val="1"/>
      </rPr>
      <t>N</t>
    </r>
    <r>
      <rPr>
        <i/>
        <sz val="11"/>
        <color indexed="8"/>
        <rFont val="Times New Roman"/>
        <family val="1"/>
      </rPr>
      <t>)</t>
    </r>
  </si>
  <si>
    <t>Carrier Fluid - Churchill Eqn "A"</t>
  </si>
  <si>
    <t>Carrier Fluid - Churchill Eqn "B"</t>
  </si>
  <si>
    <r>
      <t>Carrier Fluid - Darcy Friction Factor (f</t>
    </r>
    <r>
      <rPr>
        <i/>
        <vertAlign val="subscript"/>
        <sz val="11"/>
        <color indexed="8"/>
        <rFont val="Times New Roman"/>
        <family val="1"/>
      </rPr>
      <t>D,water</t>
    </r>
    <r>
      <rPr>
        <i/>
        <sz val="11"/>
        <color indexed="8"/>
        <rFont val="Times New Roman"/>
        <family val="1"/>
      </rPr>
      <t>)</t>
    </r>
  </si>
  <si>
    <r>
      <t>Carrier Fluid - Fanning Friction Factor (f</t>
    </r>
    <r>
      <rPr>
        <i/>
        <vertAlign val="subscript"/>
        <sz val="11"/>
        <color indexed="8"/>
        <rFont val="Times New Roman"/>
        <family val="1"/>
      </rPr>
      <t>f,water</t>
    </r>
    <r>
      <rPr>
        <i/>
        <sz val="11"/>
        <color indexed="8"/>
        <rFont val="Times New Roman"/>
        <family val="1"/>
      </rPr>
      <t>)</t>
    </r>
  </si>
  <si>
    <r>
      <t>Carrier Fluid Only - Head Loss in Straight Pipe (h</t>
    </r>
    <r>
      <rPr>
        <i/>
        <vertAlign val="subscript"/>
        <sz val="11"/>
        <color indexed="8"/>
        <rFont val="Times New Roman"/>
        <family val="1"/>
      </rPr>
      <t>f</t>
    </r>
    <r>
      <rPr>
        <i/>
        <sz val="11"/>
        <color indexed="8"/>
        <rFont val="Times New Roman"/>
        <family val="1"/>
      </rPr>
      <t>)</t>
    </r>
  </si>
  <si>
    <r>
      <t>Velocity at Midpoint of Transition… (V</t>
    </r>
    <r>
      <rPr>
        <i/>
        <vertAlign val="subscript"/>
        <sz val="11"/>
        <color indexed="8"/>
        <rFont val="Times New Roman"/>
        <family val="1"/>
      </rPr>
      <t>50</t>
    </r>
    <r>
      <rPr>
        <i/>
        <sz val="11"/>
        <color indexed="8"/>
        <rFont val="Times New Roman"/>
        <family val="1"/>
      </rPr>
      <t>)</t>
    </r>
  </si>
  <si>
    <r>
      <t>σ</t>
    </r>
    <r>
      <rPr>
        <i/>
        <vertAlign val="subscript"/>
        <sz val="11"/>
        <color indexed="8"/>
        <rFont val="Times New Roman"/>
        <family val="1"/>
      </rPr>
      <t>s</t>
    </r>
  </si>
  <si>
    <t>Particle Distribution Parameter (M)</t>
  </si>
  <si>
    <r>
      <t>Slurry - Head Loss in Straight Pipe (h</t>
    </r>
    <r>
      <rPr>
        <i/>
        <vertAlign val="subscript"/>
        <sz val="11"/>
        <color indexed="8"/>
        <rFont val="Times New Roman"/>
        <family val="1"/>
      </rPr>
      <t>f,slurry</t>
    </r>
    <r>
      <rPr>
        <i/>
        <sz val="11"/>
        <color indexed="8"/>
        <rFont val="Times New Roman"/>
        <family val="1"/>
      </rPr>
      <t>)</t>
    </r>
  </si>
  <si>
    <t>Slurry - Pressure Drop per metre (ΔP/L)</t>
  </si>
  <si>
    <t>Pa/m</t>
  </si>
  <si>
    <r>
      <t>DURAND'S FORMULA FOR DETERMINING THE LIMITING SETTLING VELOCITY (V</t>
    </r>
    <r>
      <rPr>
        <b/>
        <vertAlign val="subscript"/>
        <sz val="18"/>
        <color indexed="8"/>
        <rFont val="Calibri"/>
        <family val="2"/>
      </rPr>
      <t>L</t>
    </r>
    <r>
      <rPr>
        <b/>
        <sz val="18"/>
        <color indexed="8"/>
        <rFont val="Calibri"/>
        <family val="2"/>
      </rPr>
      <t>)</t>
    </r>
  </si>
  <si>
    <r>
      <t>F</t>
    </r>
    <r>
      <rPr>
        <b/>
        <vertAlign val="subscript"/>
        <sz val="11"/>
        <color indexed="8"/>
        <rFont val="Calibri"/>
        <family val="2"/>
      </rPr>
      <t>L</t>
    </r>
    <r>
      <rPr>
        <b/>
        <sz val="11"/>
        <color indexed="8"/>
        <rFont val="Calibri"/>
        <family val="2"/>
      </rPr>
      <t xml:space="preserve"> for Widely Graded Solids…</t>
    </r>
  </si>
  <si>
    <r>
      <t>Density of Carrier Fluid (</t>
    </r>
    <r>
      <rPr>
        <sz val="11"/>
        <color indexed="8"/>
        <rFont val="Calibri"/>
        <family val="2"/>
      </rPr>
      <t>S</t>
    </r>
    <r>
      <rPr>
        <vertAlign val="subscript"/>
        <sz val="11"/>
        <color indexed="8"/>
        <rFont val="Calibri"/>
        <family val="2"/>
      </rPr>
      <t>l</t>
    </r>
    <r>
      <rPr>
        <i/>
        <sz val="11"/>
        <color indexed="8"/>
        <rFont val="Times New Roman"/>
        <family val="1"/>
      </rPr>
      <t>)</t>
    </r>
  </si>
  <si>
    <t>Dry Solids Specific Gravity (S)</t>
  </si>
  <si>
    <t>Actual Slurry Velocity (V)</t>
  </si>
  <si>
    <r>
      <t>Settling Velocity Factor for Widely Graded Solids (F</t>
    </r>
    <r>
      <rPr>
        <i/>
        <vertAlign val="subscript"/>
        <sz val="11"/>
        <color indexed="8"/>
        <rFont val="Times New Roman"/>
        <family val="1"/>
      </rPr>
      <t>L</t>
    </r>
    <r>
      <rPr>
        <i/>
        <sz val="11"/>
        <color indexed="8"/>
        <rFont val="Times New Roman"/>
        <family val="1"/>
      </rPr>
      <t>)</t>
    </r>
  </si>
  <si>
    <r>
      <t>Durand Limiting Settling Velocity (V</t>
    </r>
    <r>
      <rPr>
        <i/>
        <vertAlign val="subscript"/>
        <sz val="11"/>
        <color indexed="8"/>
        <rFont val="Times New Roman"/>
        <family val="1"/>
      </rPr>
      <t>L</t>
    </r>
    <r>
      <rPr>
        <i/>
        <sz val="11"/>
        <color indexed="8"/>
        <rFont val="Times New Roman"/>
        <family val="1"/>
      </rPr>
      <t>)</t>
    </r>
  </si>
  <si>
    <t>SET THESE VALUES TO ZERO TO USE</t>
  </si>
  <si>
    <t>THE SIMPLIFIED METHOD</t>
  </si>
  <si>
    <t>SIMPLIFIED WASC (1997) CORRELATION FOR HEAD LOSS OF A HETEROGENEOUS SETTLING SLURRY</t>
  </si>
  <si>
    <t>KARAMANEV EQUATION (1996) FOR DETERMINING THE TERMINAL SETTLING VELOCITY AND DRAG COEFFICIENT</t>
  </si>
  <si>
    <r>
      <t>Particle Diameter (d</t>
    </r>
    <r>
      <rPr>
        <i/>
        <vertAlign val="subscript"/>
        <sz val="11"/>
        <color indexed="8"/>
        <rFont val="Times New Roman"/>
        <family val="1"/>
      </rPr>
      <t>p</t>
    </r>
    <r>
      <rPr>
        <i/>
        <sz val="11"/>
        <color indexed="8"/>
        <rFont val="Times New Roman"/>
        <family val="1"/>
      </rPr>
      <t>)</t>
    </r>
  </si>
  <si>
    <t xml:space="preserve">mm </t>
  </si>
  <si>
    <r>
      <t>Fluid Density (</t>
    </r>
    <r>
      <rPr>
        <sz val="11"/>
        <color indexed="8"/>
        <rFont val="Calibri"/>
        <family val="2"/>
      </rPr>
      <t>ρ</t>
    </r>
    <r>
      <rPr>
        <i/>
        <vertAlign val="subscript"/>
        <sz val="11"/>
        <color indexed="8"/>
        <rFont val="Times New Roman"/>
        <family val="1"/>
      </rPr>
      <t>l</t>
    </r>
    <r>
      <rPr>
        <i/>
        <sz val="11"/>
        <color indexed="8"/>
        <rFont val="Times New Roman"/>
        <family val="1"/>
      </rPr>
      <t>)</t>
    </r>
  </si>
  <si>
    <r>
      <t>Absolute Viscosity of Carrier Fluid (</t>
    </r>
    <r>
      <rPr>
        <sz val="11"/>
        <color indexed="8"/>
        <rFont val="Calibri"/>
        <family val="2"/>
      </rPr>
      <t>µ</t>
    </r>
    <r>
      <rPr>
        <i/>
        <sz val="11"/>
        <color indexed="8"/>
        <rFont val="Times New Roman"/>
        <family val="1"/>
      </rPr>
      <t>)</t>
    </r>
  </si>
  <si>
    <r>
      <t>Fluid Absolute Viscosity (</t>
    </r>
    <r>
      <rPr>
        <sz val="11"/>
        <color indexed="8"/>
        <rFont val="Calibri"/>
        <family val="2"/>
      </rPr>
      <t>µ</t>
    </r>
    <r>
      <rPr>
        <i/>
        <sz val="11"/>
        <color indexed="8"/>
        <rFont val="Times New Roman"/>
        <family val="1"/>
      </rPr>
      <t>)</t>
    </r>
  </si>
  <si>
    <r>
      <t>Dry Solids Density (</t>
    </r>
    <r>
      <rPr>
        <sz val="11"/>
        <color indexed="8"/>
        <rFont val="Calibri"/>
        <family val="2"/>
      </rPr>
      <t>ρ</t>
    </r>
    <r>
      <rPr>
        <i/>
        <vertAlign val="subscript"/>
        <sz val="11"/>
        <color indexed="8"/>
        <rFont val="Times New Roman"/>
        <family val="1"/>
      </rPr>
      <t>s</t>
    </r>
    <r>
      <rPr>
        <i/>
        <sz val="11"/>
        <color indexed="8"/>
        <rFont val="Times New Roman"/>
        <family val="1"/>
      </rPr>
      <t>)</t>
    </r>
  </si>
  <si>
    <r>
      <t>Particle Drag Coefficient at Terminal Settling Velocity (C</t>
    </r>
    <r>
      <rPr>
        <i/>
        <vertAlign val="subscript"/>
        <sz val="11"/>
        <color indexed="8"/>
        <rFont val="Times New Roman"/>
        <family val="1"/>
      </rPr>
      <t>D</t>
    </r>
    <r>
      <rPr>
        <i/>
        <sz val="11"/>
        <color indexed="8"/>
        <rFont val="Times New Roman"/>
        <family val="1"/>
      </rPr>
      <t>*)</t>
    </r>
  </si>
  <si>
    <r>
      <t>Parameter ϕ</t>
    </r>
    <r>
      <rPr>
        <i/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*</t>
    </r>
  </si>
  <si>
    <r>
      <t>Particle Terminal Settling Velocity (v</t>
    </r>
    <r>
      <rPr>
        <i/>
        <vertAlign val="subscript"/>
        <sz val="11"/>
        <color indexed="8"/>
        <rFont val="Times New Roman"/>
        <family val="1"/>
      </rPr>
      <t>T</t>
    </r>
    <r>
      <rPr>
        <i/>
        <sz val="11"/>
        <color indexed="8"/>
        <rFont val="Times New Roman"/>
        <family val="1"/>
      </rPr>
      <t>)</t>
    </r>
  </si>
  <si>
    <r>
      <t>Particle Reynolds Number at Terminal Settling Velocity (R*</t>
    </r>
    <r>
      <rPr>
        <i/>
        <vertAlign val="subscript"/>
        <sz val="11"/>
        <color indexed="8"/>
        <rFont val="Times New Roman"/>
        <family val="1"/>
      </rPr>
      <t>particle</t>
    </r>
    <r>
      <rPr>
        <i/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</si>
</sst>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i/>
      <vertAlign val="subscript"/>
      <sz val="11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164" fontId="0" fillId="33" borderId="0" xfId="0" applyNumberFormat="1" applyFill="1" applyAlignment="1">
      <alignment/>
    </xf>
    <xf numFmtId="0" fontId="49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6" fontId="0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0" fillId="34" borderId="0" xfId="0" applyNumberFormat="1" applyFont="1" applyFill="1" applyAlignment="1">
      <alignment/>
    </xf>
    <xf numFmtId="0" fontId="54" fillId="0" borderId="10" xfId="0" applyFont="1" applyBorder="1" applyAlignment="1">
      <alignment/>
    </xf>
    <xf numFmtId="166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2" fontId="56" fillId="35" borderId="10" xfId="0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6" fillId="35" borderId="11" xfId="0" applyFont="1" applyFill="1" applyBorder="1" applyAlignment="1">
      <alignment horizontal="center"/>
    </xf>
    <xf numFmtId="2" fontId="54" fillId="0" borderId="11" xfId="0" applyNumberFormat="1" applyFont="1" applyBorder="1" applyAlignment="1">
      <alignment/>
    </xf>
    <xf numFmtId="0" fontId="56" fillId="35" borderId="12" xfId="0" applyFont="1" applyFill="1" applyBorder="1" applyAlignment="1">
      <alignment horizontal="center"/>
    </xf>
    <xf numFmtId="2" fontId="54" fillId="0" borderId="12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57" fillId="0" borderId="0" xfId="0" applyFont="1" applyAlignment="1">
      <alignment/>
    </xf>
    <xf numFmtId="1" fontId="0" fillId="33" borderId="0" xfId="0" applyNumberFormat="1" applyFill="1" applyAlignment="1">
      <alignment/>
    </xf>
    <xf numFmtId="0" fontId="56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System Curves Calculated from DCW (Settling Slurry) &amp; Churchill (Water)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145"/>
          <c:w val="0.82975"/>
          <c:h val="0.824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'SYSTEM CURVE USING DCW &amp; CHURCH'!$G$13</c:f>
              <c:strCache>
                <c:ptCount val="1"/>
                <c:pt idx="0">
                  <c:v>Water hf (m)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'SYSTEM CURVE USING DCW &amp; CHURCH'!$B$14:$B$25</c:f>
              <c:numCache/>
            </c:numRef>
          </c:xVal>
          <c:yVal>
            <c:numRef>
              <c:f>'SYSTEM CURVE USING DCW &amp; CHURCH'!$G$14:$G$25</c:f>
              <c:numCache/>
            </c:numRef>
          </c:yVal>
          <c:smooth val="1"/>
        </c:ser>
        <c:ser>
          <c:idx val="7"/>
          <c:order val="1"/>
          <c:tx>
            <c:strRef>
              <c:f>'SYSTEM CURVE USING DCW &amp; CHURCH'!$J$13</c:f>
              <c:strCache>
                <c:ptCount val="1"/>
                <c:pt idx="0">
                  <c:v>Slurry hf (m)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'SYSTEM CURVE USING DCW &amp; CHURCH'!$B$14:$B$25</c:f>
              <c:numCache/>
            </c:numRef>
          </c:xVal>
          <c:yVal>
            <c:numRef>
              <c:f>'SYSTEM CURVE USING DCW &amp; CHURCH'!$J$14:$J$25</c:f>
              <c:numCache/>
            </c:numRef>
          </c:yVal>
          <c:smooth val="1"/>
        </c:ser>
        <c:axId val="18288778"/>
        <c:axId val="30381275"/>
      </c:scatterChart>
      <c:val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Pipeline Velocity (m/s)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0381275"/>
        <c:crosses val="autoZero"/>
        <c:crossBetween val="midCat"/>
        <c:dispUnits/>
      </c:valAx>
      <c:valAx>
        <c:axId val="30381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Head Loss  in Straight Pipe (metres per 100 metres)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82887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49375"/>
          <c:w val="0.11575"/>
          <c:h val="0.0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47625</xdr:rowOff>
    </xdr:from>
    <xdr:to>
      <xdr:col>15</xdr:col>
      <xdr:colOff>219075</xdr:colOff>
      <xdr:row>15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42900"/>
          <a:ext cx="38671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15</xdr:row>
      <xdr:rowOff>161925</xdr:rowOff>
    </xdr:from>
    <xdr:to>
      <xdr:col>16</xdr:col>
      <xdr:colOff>542925</xdr:colOff>
      <xdr:row>26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27745"/>
        <a:stretch>
          <a:fillRect/>
        </a:stretch>
      </xdr:blipFill>
      <xdr:spPr>
        <a:xfrm>
          <a:off x="8572500" y="3295650"/>
          <a:ext cx="48291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1" name="Straight Arrow Connector 2"/>
        <xdr:cNvSpPr>
          <a:spLocks/>
        </xdr:cNvSpPr>
      </xdr:nvSpPr>
      <xdr:spPr>
        <a:xfrm rot="10800000">
          <a:off x="4924425" y="2819400"/>
          <a:ext cx="619125" cy="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428625</xdr:colOff>
      <xdr:row>16</xdr:row>
      <xdr:rowOff>38100</xdr:rowOff>
    </xdr:from>
    <xdr:to>
      <xdr:col>12</xdr:col>
      <xdr:colOff>276225</xdr:colOff>
      <xdr:row>30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33725"/>
          <a:ext cx="5391150" cy="2752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4</xdr:row>
      <xdr:rowOff>0</xdr:rowOff>
    </xdr:from>
    <xdr:to>
      <xdr:col>19</xdr:col>
      <xdr:colOff>438150</xdr:colOff>
      <xdr:row>17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809625"/>
          <a:ext cx="4857750" cy="2733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552450</xdr:colOff>
      <xdr:row>18</xdr:row>
      <xdr:rowOff>57150</xdr:rowOff>
    </xdr:from>
    <xdr:to>
      <xdr:col>19</xdr:col>
      <xdr:colOff>561975</xdr:colOff>
      <xdr:row>31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3743325"/>
          <a:ext cx="488632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</xdr:row>
      <xdr:rowOff>0</xdr:rowOff>
    </xdr:from>
    <xdr:to>
      <xdr:col>17</xdr:col>
      <xdr:colOff>504825</xdr:colOff>
      <xdr:row>29</xdr:row>
      <xdr:rowOff>171450</xdr:rowOff>
    </xdr:to>
    <xdr:grpSp>
      <xdr:nvGrpSpPr>
        <xdr:cNvPr id="1" name="Group 8"/>
        <xdr:cNvGrpSpPr>
          <a:grpSpLocks/>
        </xdr:cNvGrpSpPr>
      </xdr:nvGrpSpPr>
      <xdr:grpSpPr>
        <a:xfrm>
          <a:off x="8858250" y="1028700"/>
          <a:ext cx="5162550" cy="5048250"/>
          <a:chOff x="8562975" y="1066800"/>
          <a:chExt cx="5162550" cy="5057775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8562975" y="1066800"/>
            <a:ext cx="5162550" cy="505777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5576" y="3483152"/>
            <a:ext cx="4891516" cy="26262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82335" y="1714195"/>
            <a:ext cx="5095437" cy="18043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"/>
          <xdr:cNvPicPr preferRelativeResize="1">
            <a:picLocks noChangeAspect="1"/>
          </xdr:cNvPicPr>
        </xdr:nvPicPr>
        <xdr:blipFill>
          <a:blip r:embed="rId3"/>
          <a:srcRect t="10792" r="54473" b="67620"/>
          <a:stretch>
            <a:fillRect/>
          </a:stretch>
        </xdr:blipFill>
        <xdr:spPr>
          <a:xfrm>
            <a:off x="8582335" y="1114849"/>
            <a:ext cx="2209571" cy="59049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3</xdr:col>
      <xdr:colOff>809625</xdr:colOff>
      <xdr:row>13</xdr:row>
      <xdr:rowOff>104775</xdr:rowOff>
    </xdr:from>
    <xdr:to>
      <xdr:col>4</xdr:col>
      <xdr:colOff>685800</xdr:colOff>
      <xdr:row>13</xdr:row>
      <xdr:rowOff>200025</xdr:rowOff>
    </xdr:to>
    <xdr:sp>
      <xdr:nvSpPr>
        <xdr:cNvPr id="6" name="Straight Arrow Connector 10"/>
        <xdr:cNvSpPr>
          <a:spLocks/>
        </xdr:cNvSpPr>
      </xdr:nvSpPr>
      <xdr:spPr>
        <a:xfrm rot="10800000">
          <a:off x="5467350" y="2790825"/>
          <a:ext cx="723900" cy="9525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14</xdr:row>
      <xdr:rowOff>0</xdr:rowOff>
    </xdr:from>
    <xdr:to>
      <xdr:col>4</xdr:col>
      <xdr:colOff>666750</xdr:colOff>
      <xdr:row>14</xdr:row>
      <xdr:rowOff>104775</xdr:rowOff>
    </xdr:to>
    <xdr:sp>
      <xdr:nvSpPr>
        <xdr:cNvPr id="7" name="Straight Arrow Connector 11"/>
        <xdr:cNvSpPr>
          <a:spLocks/>
        </xdr:cNvSpPr>
      </xdr:nvSpPr>
      <xdr:spPr>
        <a:xfrm rot="10800000" flipV="1">
          <a:off x="5486400" y="2895600"/>
          <a:ext cx="685800" cy="10477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5</xdr:row>
      <xdr:rowOff>133350</xdr:rowOff>
    </xdr:from>
    <xdr:to>
      <xdr:col>14</xdr:col>
      <xdr:colOff>133350</xdr:colOff>
      <xdr:row>21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00150"/>
          <a:ext cx="4991100" cy="31623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10</xdr:row>
      <xdr:rowOff>9525</xdr:rowOff>
    </xdr:from>
    <xdr:to>
      <xdr:col>6</xdr:col>
      <xdr:colOff>428625</xdr:colOff>
      <xdr:row>10</xdr:row>
      <xdr:rowOff>152400</xdr:rowOff>
    </xdr:to>
    <xdr:sp>
      <xdr:nvSpPr>
        <xdr:cNvPr id="1" name="Straight Arrow Connector 4"/>
        <xdr:cNvSpPr>
          <a:spLocks/>
        </xdr:cNvSpPr>
      </xdr:nvSpPr>
      <xdr:spPr>
        <a:xfrm rot="5400000">
          <a:off x="7058025" y="1981200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10</xdr:row>
      <xdr:rowOff>0</xdr:rowOff>
    </xdr:from>
    <xdr:to>
      <xdr:col>9</xdr:col>
      <xdr:colOff>285750</xdr:colOff>
      <xdr:row>11</xdr:row>
      <xdr:rowOff>9525</xdr:rowOff>
    </xdr:to>
    <xdr:sp>
      <xdr:nvSpPr>
        <xdr:cNvPr id="2" name="Straight Arrow Connector 6"/>
        <xdr:cNvSpPr>
          <a:spLocks/>
        </xdr:cNvSpPr>
      </xdr:nvSpPr>
      <xdr:spPr>
        <a:xfrm rot="5400000">
          <a:off x="8982075" y="1971675"/>
          <a:ext cx="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47625</xdr:rowOff>
    </xdr:from>
    <xdr:to>
      <xdr:col>10</xdr:col>
      <xdr:colOff>19050</xdr:colOff>
      <xdr:row>53</xdr:row>
      <xdr:rowOff>9525</xdr:rowOff>
    </xdr:to>
    <xdr:graphicFrame>
      <xdr:nvGraphicFramePr>
        <xdr:cNvPr id="3" name="Chart 9"/>
        <xdr:cNvGraphicFramePr/>
      </xdr:nvGraphicFramePr>
      <xdr:xfrm>
        <a:off x="638175" y="4933950"/>
        <a:ext cx="8915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13</xdr:row>
      <xdr:rowOff>133350</xdr:rowOff>
    </xdr:from>
    <xdr:to>
      <xdr:col>16</xdr:col>
      <xdr:colOff>285750</xdr:colOff>
      <xdr:row>20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981325"/>
          <a:ext cx="5295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8</xdr:row>
      <xdr:rowOff>19050</xdr:rowOff>
    </xdr:from>
    <xdr:to>
      <xdr:col>16</xdr:col>
      <xdr:colOff>428625</xdr:colOff>
      <xdr:row>13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790700"/>
          <a:ext cx="541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00390625" style="0" customWidth="1"/>
    <col min="2" max="2" width="60.421875" style="0" customWidth="1"/>
    <col min="4" max="4" width="9.57421875" style="0" bestFit="1" customWidth="1"/>
  </cols>
  <sheetData>
    <row r="1" ht="23.25">
      <c r="A1" s="3" t="s">
        <v>91</v>
      </c>
    </row>
    <row r="3" ht="15">
      <c r="B3" s="4" t="s">
        <v>0</v>
      </c>
    </row>
    <row r="4" spans="2:8" ht="16.5">
      <c r="B4" s="6" t="s">
        <v>92</v>
      </c>
      <c r="C4" s="6" t="s">
        <v>93</v>
      </c>
      <c r="D4" s="9">
        <v>0.2</v>
      </c>
      <c r="E4" s="7">
        <f>D4/1000</f>
        <v>0.0002</v>
      </c>
      <c r="F4" s="6" t="s">
        <v>8</v>
      </c>
      <c r="G4" s="9"/>
      <c r="H4" t="s">
        <v>9</v>
      </c>
    </row>
    <row r="5" spans="2:8" ht="18">
      <c r="B5" s="6" t="s">
        <v>94</v>
      </c>
      <c r="C5" s="6" t="s">
        <v>57</v>
      </c>
      <c r="D5" s="9">
        <v>1000</v>
      </c>
      <c r="F5" s="6"/>
      <c r="G5" s="11"/>
      <c r="H5" t="s">
        <v>10</v>
      </c>
    </row>
    <row r="6" spans="2:6" ht="15">
      <c r="B6" s="6" t="s">
        <v>96</v>
      </c>
      <c r="C6" s="6" t="s">
        <v>67</v>
      </c>
      <c r="D6" s="9">
        <v>1</v>
      </c>
      <c r="E6" s="7">
        <f>D6/1000</f>
        <v>0.001</v>
      </c>
      <c r="F6" s="6" t="s">
        <v>68</v>
      </c>
    </row>
    <row r="7" spans="2:6" ht="15">
      <c r="B7" s="6" t="s">
        <v>4</v>
      </c>
      <c r="C7" s="6" t="s">
        <v>7</v>
      </c>
      <c r="D7" s="9">
        <v>203</v>
      </c>
      <c r="E7" s="10">
        <f>D7/1000</f>
        <v>0.203</v>
      </c>
      <c r="F7" s="6" t="s">
        <v>8</v>
      </c>
    </row>
    <row r="8" spans="2:4" ht="18">
      <c r="B8" s="6" t="s">
        <v>97</v>
      </c>
      <c r="C8" s="6" t="s">
        <v>57</v>
      </c>
      <c r="D8" s="9">
        <v>2650</v>
      </c>
    </row>
    <row r="10" ht="15">
      <c r="B10" s="4" t="s">
        <v>11</v>
      </c>
    </row>
    <row r="11" spans="2:4" ht="16.5">
      <c r="B11" s="6" t="s">
        <v>99</v>
      </c>
      <c r="C11" s="6" t="s">
        <v>6</v>
      </c>
      <c r="D11" s="14">
        <f>4/3*(D8-D5)*D5*9.81*((E4^3))/(E6^2)</f>
        <v>172.656</v>
      </c>
    </row>
    <row r="12" spans="2:4" ht="16.5">
      <c r="B12" s="6" t="s">
        <v>98</v>
      </c>
      <c r="C12" s="6" t="s">
        <v>6</v>
      </c>
      <c r="D12" s="14">
        <f>(432/D11)*(1+0.047*(D11^(2/3))+(0.517/(1+154*(D11^(-1/3)))))</f>
        <v>6.193542909610761</v>
      </c>
    </row>
    <row r="13" spans="2:4" ht="16.5">
      <c r="B13" s="6" t="s">
        <v>101</v>
      </c>
      <c r="C13" s="6" t="s">
        <v>6</v>
      </c>
      <c r="D13" s="10">
        <f>(D11/D12)^0.5</f>
        <v>5.279846082398862</v>
      </c>
    </row>
    <row r="14" spans="2:4" ht="16.5">
      <c r="B14" s="6" t="s">
        <v>100</v>
      </c>
      <c r="C14" s="6" t="s">
        <v>5</v>
      </c>
      <c r="D14" s="15">
        <f>D13*E6/(E4*D5)</f>
        <v>0.02639923041199431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0">
      <selection activeCell="B11" sqref="B11"/>
    </sheetView>
  </sheetViews>
  <sheetFormatPr defaultColWidth="9.140625" defaultRowHeight="15"/>
  <cols>
    <col min="2" max="2" width="45.7109375" style="0" customWidth="1"/>
    <col min="4" max="5" width="9.57421875" style="0" bestFit="1" customWidth="1"/>
  </cols>
  <sheetData>
    <row r="1" ht="23.25">
      <c r="A1" s="3" t="s">
        <v>19</v>
      </c>
    </row>
    <row r="3" spans="1:2" ht="14.25">
      <c r="A3" s="4"/>
      <c r="B3" s="4" t="s">
        <v>0</v>
      </c>
    </row>
    <row r="4" spans="2:8" ht="15.75">
      <c r="B4" s="6" t="s">
        <v>1</v>
      </c>
      <c r="C4" s="6" t="s">
        <v>6</v>
      </c>
      <c r="D4" s="9">
        <v>0.945</v>
      </c>
      <c r="F4" s="6"/>
      <c r="G4" s="9"/>
      <c r="H4" t="s">
        <v>9</v>
      </c>
    </row>
    <row r="5" spans="2:8" ht="14.25">
      <c r="B5" s="6" t="s">
        <v>2</v>
      </c>
      <c r="C5" s="6" t="s">
        <v>6</v>
      </c>
      <c r="D5" s="9">
        <v>2.65</v>
      </c>
      <c r="F5" s="6"/>
      <c r="G5" s="11"/>
      <c r="H5" t="s">
        <v>10</v>
      </c>
    </row>
    <row r="6" spans="2:6" ht="14.25">
      <c r="B6" s="6" t="s">
        <v>3</v>
      </c>
      <c r="C6" s="6" t="s">
        <v>6</v>
      </c>
      <c r="D6" s="9">
        <v>81</v>
      </c>
      <c r="F6" s="6"/>
    </row>
    <row r="7" spans="2:6" ht="14.25">
      <c r="B7" s="6" t="s">
        <v>4</v>
      </c>
      <c r="C7" s="6" t="s">
        <v>7</v>
      </c>
      <c r="D7" s="9">
        <v>203</v>
      </c>
      <c r="E7" s="10">
        <f>D7/1000</f>
        <v>0.203</v>
      </c>
      <c r="F7" s="6" t="s">
        <v>8</v>
      </c>
    </row>
    <row r="8" spans="2:4" ht="15.75">
      <c r="B8" s="6" t="s">
        <v>14</v>
      </c>
      <c r="C8" s="6" t="s">
        <v>15</v>
      </c>
      <c r="D8" s="9">
        <v>0.3</v>
      </c>
    </row>
    <row r="9" spans="2:8" ht="17.25">
      <c r="B9" s="6" t="s">
        <v>16</v>
      </c>
      <c r="C9" s="6" t="s">
        <v>17</v>
      </c>
      <c r="D9" s="9">
        <v>460</v>
      </c>
      <c r="E9" s="12">
        <f>D9/3600</f>
        <v>0.12777777777777777</v>
      </c>
      <c r="F9" s="6" t="s">
        <v>27</v>
      </c>
      <c r="G9" s="14">
        <f>E9*1000</f>
        <v>127.77777777777777</v>
      </c>
      <c r="H9" s="6" t="s">
        <v>18</v>
      </c>
    </row>
    <row r="10" spans="2:3" ht="14.25">
      <c r="B10" s="6"/>
      <c r="C10" s="6"/>
    </row>
    <row r="11" spans="2:3" ht="14.25">
      <c r="B11" s="4" t="s">
        <v>11</v>
      </c>
      <c r="C11" s="6"/>
    </row>
    <row r="12" spans="2:4" ht="14.25">
      <c r="B12" s="6" t="s">
        <v>13</v>
      </c>
      <c r="C12" s="6" t="s">
        <v>5</v>
      </c>
      <c r="D12" s="14">
        <f>4*E9/(PI()*E7^2)</f>
        <v>3.9479657260561662</v>
      </c>
    </row>
    <row r="13" spans="2:4" ht="14.25">
      <c r="B13" s="6" t="s">
        <v>12</v>
      </c>
      <c r="C13" s="6" t="s">
        <v>6</v>
      </c>
      <c r="D13" s="14">
        <f>D12^2/(9.81*(D5-1)*E7)</f>
        <v>4.743487472338423</v>
      </c>
    </row>
    <row r="14" spans="2:4" ht="14.25">
      <c r="B14" s="6" t="s">
        <v>20</v>
      </c>
      <c r="C14" s="6" t="s">
        <v>6</v>
      </c>
      <c r="D14" s="10">
        <f>D6*D8*((SQRT(D4)*D13)^(-1.5))</f>
        <v>2.4540634107750874</v>
      </c>
    </row>
    <row r="15" spans="2:6" ht="14.25">
      <c r="B15" s="6" t="s">
        <v>36</v>
      </c>
      <c r="C15" s="6" t="s">
        <v>6</v>
      </c>
      <c r="D15" s="10">
        <f>1+D14</f>
        <v>3.4540634107750874</v>
      </c>
      <c r="F15" t="s">
        <v>38</v>
      </c>
    </row>
    <row r="16" ht="14.25">
      <c r="F16" t="s">
        <v>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85" zoomScaleNormal="85" zoomScalePageLayoutView="0" workbookViewId="0" topLeftCell="A16">
      <selection activeCell="D35" sqref="D35"/>
    </sheetView>
  </sheetViews>
  <sheetFormatPr defaultColWidth="9.140625" defaultRowHeight="15"/>
  <cols>
    <col min="2" max="2" width="51.57421875" style="0" customWidth="1"/>
    <col min="4" max="4" width="12.7109375" style="0" bestFit="1" customWidth="1"/>
    <col min="5" max="5" width="10.28125" style="0" bestFit="1" customWidth="1"/>
    <col min="7" max="7" width="9.28125" style="0" bestFit="1" customWidth="1"/>
  </cols>
  <sheetData>
    <row r="1" ht="21">
      <c r="A1" s="2" t="s">
        <v>55</v>
      </c>
    </row>
    <row r="2" ht="14.25">
      <c r="A2" s="1" t="s">
        <v>56</v>
      </c>
    </row>
    <row r="3" ht="14.25">
      <c r="A3" s="1"/>
    </row>
    <row r="4" ht="14.25">
      <c r="B4" s="4" t="s">
        <v>22</v>
      </c>
    </row>
    <row r="5" spans="2:8" ht="18">
      <c r="B5" s="6" t="s">
        <v>2</v>
      </c>
      <c r="C5" s="6" t="s">
        <v>6</v>
      </c>
      <c r="D5" s="9">
        <v>2.65</v>
      </c>
      <c r="E5" s="7">
        <f>D5*1000</f>
        <v>2650</v>
      </c>
      <c r="F5" s="6" t="s">
        <v>57</v>
      </c>
      <c r="G5" s="11"/>
      <c r="H5" t="s">
        <v>10</v>
      </c>
    </row>
    <row r="6" spans="1:8" ht="15">
      <c r="A6" s="6"/>
      <c r="B6" s="6" t="s">
        <v>95</v>
      </c>
      <c r="C6" s="6" t="s">
        <v>67</v>
      </c>
      <c r="D6" s="9">
        <v>1</v>
      </c>
      <c r="E6" s="15">
        <f>D6*10^(-3)</f>
        <v>0.001</v>
      </c>
      <c r="F6" s="6" t="s">
        <v>68</v>
      </c>
      <c r="G6" s="9"/>
      <c r="H6" t="s">
        <v>9</v>
      </c>
    </row>
    <row r="7" spans="1:6" ht="18">
      <c r="A7" s="6"/>
      <c r="B7" s="6" t="s">
        <v>66</v>
      </c>
      <c r="C7" s="6" t="s">
        <v>57</v>
      </c>
      <c r="D7" s="9">
        <v>1000</v>
      </c>
      <c r="E7" s="31"/>
      <c r="F7" s="6"/>
    </row>
    <row r="8" spans="2:6" ht="16.5">
      <c r="B8" s="6" t="s">
        <v>58</v>
      </c>
      <c r="C8" s="6" t="s">
        <v>6</v>
      </c>
      <c r="D8" s="9">
        <v>0.44</v>
      </c>
      <c r="F8" s="6"/>
    </row>
    <row r="9" spans="2:6" ht="15">
      <c r="B9" s="6" t="s">
        <v>4</v>
      </c>
      <c r="C9" s="6" t="s">
        <v>7</v>
      </c>
      <c r="D9" s="9">
        <v>203</v>
      </c>
      <c r="E9" s="10">
        <f>D9/1000</f>
        <v>0.203</v>
      </c>
      <c r="F9" s="6" t="s">
        <v>8</v>
      </c>
    </row>
    <row r="10" spans="2:8" ht="16.5">
      <c r="B10" s="6" t="s">
        <v>14</v>
      </c>
      <c r="C10" s="6" t="s">
        <v>15</v>
      </c>
      <c r="D10" s="9">
        <v>0.138</v>
      </c>
      <c r="E10" s="7">
        <f>D10*100</f>
        <v>13.8</v>
      </c>
      <c r="F10" s="6" t="s">
        <v>65</v>
      </c>
      <c r="G10" s="29"/>
      <c r="H10" s="6"/>
    </row>
    <row r="11" spans="2:8" ht="18">
      <c r="B11" s="6" t="s">
        <v>16</v>
      </c>
      <c r="C11" s="6" t="s">
        <v>17</v>
      </c>
      <c r="D11" s="9">
        <v>350</v>
      </c>
      <c r="E11" s="12">
        <f>D11/3600</f>
        <v>0.09722222222222222</v>
      </c>
      <c r="F11" s="6" t="s">
        <v>27</v>
      </c>
      <c r="G11" s="30">
        <f>E11*1000</f>
        <v>97.22222222222223</v>
      </c>
      <c r="H11" s="6" t="s">
        <v>18</v>
      </c>
    </row>
    <row r="12" spans="2:6" ht="16.5">
      <c r="B12" s="6" t="s">
        <v>59</v>
      </c>
      <c r="C12" s="6" t="s">
        <v>7</v>
      </c>
      <c r="D12" s="9">
        <v>0.63</v>
      </c>
      <c r="E12" s="15">
        <f>D12/1000</f>
        <v>0.00063</v>
      </c>
      <c r="F12" s="6" t="s">
        <v>8</v>
      </c>
    </row>
    <row r="13" spans="2:5" ht="15">
      <c r="B13" s="6" t="s">
        <v>60</v>
      </c>
      <c r="C13" s="6" t="s">
        <v>7</v>
      </c>
      <c r="D13" s="9">
        <v>0.74</v>
      </c>
      <c r="E13" s="15">
        <f>D13/1000</f>
        <v>0.00074</v>
      </c>
    </row>
    <row r="14" spans="2:4" ht="16.5">
      <c r="B14" s="6" t="s">
        <v>61</v>
      </c>
      <c r="C14" s="6" t="s">
        <v>5</v>
      </c>
      <c r="D14" s="9">
        <v>0.104</v>
      </c>
    </row>
    <row r="15" spans="2:6" ht="16.5">
      <c r="B15" s="6" t="s">
        <v>62</v>
      </c>
      <c r="C15" s="6" t="s">
        <v>5</v>
      </c>
      <c r="D15" s="9">
        <v>0.123</v>
      </c>
      <c r="F15" s="6"/>
    </row>
    <row r="16" spans="2:6" ht="15">
      <c r="B16" s="6" t="s">
        <v>25</v>
      </c>
      <c r="C16" s="6" t="s">
        <v>26</v>
      </c>
      <c r="D16" s="9">
        <v>1.5</v>
      </c>
      <c r="E16" s="16">
        <f>D16*10^(-6)</f>
        <v>1.5E-06</v>
      </c>
      <c r="F16" s="6" t="s">
        <v>8</v>
      </c>
    </row>
    <row r="17" spans="2:4" ht="15">
      <c r="B17" s="6" t="s">
        <v>31</v>
      </c>
      <c r="C17" s="6" t="s">
        <v>8</v>
      </c>
      <c r="D17" s="9">
        <v>100</v>
      </c>
    </row>
    <row r="18" spans="2:4" ht="15">
      <c r="B18" s="6"/>
      <c r="C18" s="6"/>
      <c r="D18" s="8"/>
    </row>
    <row r="19" ht="15">
      <c r="B19" s="4" t="s">
        <v>29</v>
      </c>
    </row>
    <row r="20" spans="2:4" ht="15">
      <c r="B20" s="6" t="s">
        <v>13</v>
      </c>
      <c r="C20" s="6" t="s">
        <v>5</v>
      </c>
      <c r="D20" s="14">
        <f>E11*4/(PI()*(E9^2))</f>
        <v>3.003886965477518</v>
      </c>
    </row>
    <row r="21" spans="2:4" ht="16.5">
      <c r="B21" s="6" t="s">
        <v>63</v>
      </c>
      <c r="C21" s="6" t="s">
        <v>6</v>
      </c>
      <c r="D21" s="10">
        <f>0.9*D14+2.7*(((($E$5-$D$7)*9.81*$E$6)/($D$7^2))^(1/3))</f>
        <v>0.1618990633805764</v>
      </c>
    </row>
    <row r="22" spans="2:4" ht="16.5">
      <c r="B22" s="6" t="s">
        <v>64</v>
      </c>
      <c r="C22" s="6" t="s">
        <v>6</v>
      </c>
      <c r="D22" s="10">
        <f>0.9*D15+2.7*(((($E$5-$D$7)*9.81*$E$6)/($D$7^2))^(1/3))</f>
        <v>0.17899906338057642</v>
      </c>
    </row>
    <row r="23" spans="2:5" ht="16.5">
      <c r="B23" s="6" t="s">
        <v>69</v>
      </c>
      <c r="C23" s="5" t="s">
        <v>6</v>
      </c>
      <c r="D23" s="33">
        <f>(D20*E9)/((D6/(D7/1000))*0.000001)</f>
        <v>609789.0539919361</v>
      </c>
      <c r="E23" s="17" t="str">
        <f>IF(D23&lt;3000,"LAMINAR","TURBULENT")</f>
        <v>TURBULENT</v>
      </c>
    </row>
    <row r="24" spans="2:4" ht="15">
      <c r="B24" s="6" t="s">
        <v>70</v>
      </c>
      <c r="C24" s="5" t="s">
        <v>6</v>
      </c>
      <c r="D24" s="15">
        <f>(-2.457*LN(((7/$D$23)^(0.9))+(0.27*($E$16/$E$9))))^16</f>
        <v>2.358609231351048E+22</v>
      </c>
    </row>
    <row r="25" spans="2:4" ht="15">
      <c r="B25" s="6" t="s">
        <v>71</v>
      </c>
      <c r="C25" s="5" t="s">
        <v>6</v>
      </c>
      <c r="D25" s="15">
        <f>(37530/$D$23)^16</f>
        <v>4.2382155614770666E-20</v>
      </c>
    </row>
    <row r="26" spans="2:4" ht="16.5">
      <c r="B26" s="6" t="s">
        <v>72</v>
      </c>
      <c r="C26" s="5" t="s">
        <v>6</v>
      </c>
      <c r="D26" s="12">
        <f>8*((8/D23)^12+(D24+D25)^(-1.5))^(1/12)</f>
        <v>0.012779327136742489</v>
      </c>
    </row>
    <row r="27" spans="2:4" ht="16.5">
      <c r="B27" s="6" t="s">
        <v>73</v>
      </c>
      <c r="C27" s="5" t="s">
        <v>6</v>
      </c>
      <c r="D27" s="12">
        <f>D26/4</f>
        <v>0.0031948317841856222</v>
      </c>
    </row>
    <row r="28" spans="2:5" ht="16.5">
      <c r="B28" s="6" t="s">
        <v>74</v>
      </c>
      <c r="C28" s="5" t="s">
        <v>8</v>
      </c>
      <c r="D28" s="14">
        <f>D26*D17*(D20^2)/(2*E9*9.81)</f>
        <v>2.8952103294515235</v>
      </c>
      <c r="E28" s="13"/>
    </row>
    <row r="29" spans="2:4" ht="16.5">
      <c r="B29" s="6" t="s">
        <v>75</v>
      </c>
      <c r="C29" s="5" t="s">
        <v>5</v>
      </c>
      <c r="D29" s="10">
        <f>D21*((2/D27)^0.5)*COSH(60*(E12/E9))</f>
        <v>4.121177996461602</v>
      </c>
    </row>
    <row r="30" spans="2:4" ht="16.5">
      <c r="B30" s="6" t="s">
        <v>76</v>
      </c>
      <c r="C30" s="5" t="s">
        <v>6</v>
      </c>
      <c r="D30" s="10">
        <f>LOG10((D22*COSH(60*E13/E9)/(D21*COSH(60*E12/E9))))</f>
        <v>0.04642651426793149</v>
      </c>
    </row>
    <row r="31" spans="2:4" ht="15">
      <c r="B31" s="6" t="s">
        <v>77</v>
      </c>
      <c r="C31" s="5" t="s">
        <v>6</v>
      </c>
      <c r="D31" s="7">
        <f>MIN((0.25-13*(D30^2))^(-0.5),1.7)</f>
        <v>1.7</v>
      </c>
    </row>
    <row r="32" spans="2:4" ht="15">
      <c r="B32" s="6" t="s">
        <v>20</v>
      </c>
      <c r="C32" s="6" t="s">
        <v>6</v>
      </c>
      <c r="D32" s="10">
        <f>(D10*(D5-1)*D8*9.81*E9/(4*D27*(D20^2)))*(D29/D20)^D31</f>
        <v>2.9619643569007947</v>
      </c>
    </row>
    <row r="33" spans="2:4" ht="14.25">
      <c r="B33" s="6" t="s">
        <v>36</v>
      </c>
      <c r="C33" s="6" t="s">
        <v>6</v>
      </c>
      <c r="D33" s="10">
        <f>1+D32</f>
        <v>3.9619643569007947</v>
      </c>
    </row>
    <row r="34" spans="2:4" ht="15.75">
      <c r="B34" s="6" t="s">
        <v>78</v>
      </c>
      <c r="C34" s="5" t="s">
        <v>8</v>
      </c>
      <c r="D34" s="14">
        <f>D33*D28</f>
        <v>11.470720131017943</v>
      </c>
    </row>
    <row r="35" spans="2:4" ht="14.25">
      <c r="B35" s="6" t="s">
        <v>79</v>
      </c>
      <c r="C35" s="5" t="s">
        <v>80</v>
      </c>
      <c r="D35" s="33">
        <f>(D28/D17*9.81*D7)*D33</f>
        <v>1125.2776448528602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85" zoomScaleNormal="85" zoomScalePageLayoutView="0" workbookViewId="0" topLeftCell="A1">
      <selection activeCell="E6" sqref="E6"/>
    </sheetView>
  </sheetViews>
  <sheetFormatPr defaultColWidth="9.140625" defaultRowHeight="15"/>
  <cols>
    <col min="2" max="2" width="51.57421875" style="0" customWidth="1"/>
    <col min="4" max="4" width="12.7109375" style="0" bestFit="1" customWidth="1"/>
    <col min="5" max="5" width="10.28125" style="0" bestFit="1" customWidth="1"/>
    <col min="7" max="7" width="9.28125" style="0" bestFit="1" customWidth="1"/>
  </cols>
  <sheetData>
    <row r="1" ht="21">
      <c r="A1" s="2" t="s">
        <v>90</v>
      </c>
    </row>
    <row r="2" ht="14.25">
      <c r="A2" s="1"/>
    </row>
    <row r="3" ht="14.25">
      <c r="A3" s="1"/>
    </row>
    <row r="4" ht="14.25">
      <c r="B4" s="4" t="s">
        <v>22</v>
      </c>
    </row>
    <row r="5" spans="2:8" ht="17.25">
      <c r="B5" s="6" t="s">
        <v>2</v>
      </c>
      <c r="C5" s="6" t="s">
        <v>6</v>
      </c>
      <c r="D5" s="9">
        <v>2.65</v>
      </c>
      <c r="E5" s="7">
        <f>D5*1000</f>
        <v>2650</v>
      </c>
      <c r="F5" s="6" t="s">
        <v>57</v>
      </c>
      <c r="G5" s="11"/>
      <c r="H5" t="s">
        <v>10</v>
      </c>
    </row>
    <row r="6" spans="1:8" ht="15">
      <c r="A6" s="6"/>
      <c r="B6" s="6" t="s">
        <v>95</v>
      </c>
      <c r="C6" s="6" t="s">
        <v>67</v>
      </c>
      <c r="D6" s="9">
        <v>1</v>
      </c>
      <c r="E6" s="15">
        <f>D6*10^(-3)</f>
        <v>0.001</v>
      </c>
      <c r="F6" s="6" t="s">
        <v>68</v>
      </c>
      <c r="G6" s="9"/>
      <c r="H6" t="s">
        <v>9</v>
      </c>
    </row>
    <row r="7" spans="1:6" ht="18">
      <c r="A7" s="6"/>
      <c r="B7" s="6" t="s">
        <v>66</v>
      </c>
      <c r="C7" s="6" t="s">
        <v>57</v>
      </c>
      <c r="D7" s="9">
        <v>1000</v>
      </c>
      <c r="E7" s="31"/>
      <c r="F7" s="6"/>
    </row>
    <row r="8" spans="2:6" ht="16.5">
      <c r="B8" s="6" t="s">
        <v>58</v>
      </c>
      <c r="C8" s="6" t="s">
        <v>6</v>
      </c>
      <c r="D8" s="9">
        <v>0.44</v>
      </c>
      <c r="F8" s="6"/>
    </row>
    <row r="9" spans="2:6" ht="15">
      <c r="B9" s="6" t="s">
        <v>4</v>
      </c>
      <c r="C9" s="6" t="s">
        <v>7</v>
      </c>
      <c r="D9" s="9">
        <v>203</v>
      </c>
      <c r="E9" s="10">
        <f>D9/1000</f>
        <v>0.203</v>
      </c>
      <c r="F9" s="6" t="s">
        <v>8</v>
      </c>
    </row>
    <row r="10" spans="2:8" ht="16.5">
      <c r="B10" s="6" t="s">
        <v>14</v>
      </c>
      <c r="C10" s="6" t="s">
        <v>15</v>
      </c>
      <c r="D10" s="9">
        <v>0.3</v>
      </c>
      <c r="E10" s="7">
        <f>D10*100</f>
        <v>30</v>
      </c>
      <c r="F10" s="6" t="s">
        <v>65</v>
      </c>
      <c r="G10" s="29"/>
      <c r="H10" s="6"/>
    </row>
    <row r="11" spans="2:8" ht="18">
      <c r="B11" s="6" t="s">
        <v>16</v>
      </c>
      <c r="C11" s="6" t="s">
        <v>17</v>
      </c>
      <c r="D11" s="9">
        <v>600</v>
      </c>
      <c r="E11" s="12">
        <f>D11/3600</f>
        <v>0.16666666666666666</v>
      </c>
      <c r="F11" s="6" t="s">
        <v>27</v>
      </c>
      <c r="G11" s="30">
        <f>E11*1000</f>
        <v>166.66666666666666</v>
      </c>
      <c r="H11" s="6" t="s">
        <v>18</v>
      </c>
    </row>
    <row r="12" spans="2:6" ht="16.5">
      <c r="B12" s="6" t="s">
        <v>59</v>
      </c>
      <c r="C12" s="6" t="s">
        <v>7</v>
      </c>
      <c r="D12" s="9">
        <v>0.63</v>
      </c>
      <c r="E12" s="15">
        <f>D12/1000</f>
        <v>0.00063</v>
      </c>
      <c r="F12" s="6" t="s">
        <v>8</v>
      </c>
    </row>
    <row r="13" spans="2:5" ht="15">
      <c r="B13" s="6" t="s">
        <v>60</v>
      </c>
      <c r="C13" s="6" t="s">
        <v>7</v>
      </c>
      <c r="D13" s="9">
        <v>0.74</v>
      </c>
      <c r="E13" s="15">
        <f>D13/1000</f>
        <v>0.00074</v>
      </c>
    </row>
    <row r="14" spans="2:6" ht="16.5">
      <c r="B14" s="6" t="s">
        <v>61</v>
      </c>
      <c r="C14" s="6" t="s">
        <v>5</v>
      </c>
      <c r="D14" s="9">
        <v>0</v>
      </c>
      <c r="F14" s="32" t="s">
        <v>88</v>
      </c>
    </row>
    <row r="15" spans="2:6" ht="16.5">
      <c r="B15" s="6" t="s">
        <v>62</v>
      </c>
      <c r="C15" s="6" t="s">
        <v>5</v>
      </c>
      <c r="D15" s="9">
        <v>0</v>
      </c>
      <c r="F15" s="32" t="s">
        <v>89</v>
      </c>
    </row>
    <row r="16" spans="2:6" ht="15">
      <c r="B16" s="6" t="s">
        <v>25</v>
      </c>
      <c r="C16" s="6" t="s">
        <v>26</v>
      </c>
      <c r="D16" s="9">
        <v>1.5</v>
      </c>
      <c r="E16" s="16">
        <f>D16*10^(-6)</f>
        <v>1.5E-06</v>
      </c>
      <c r="F16" s="6" t="s">
        <v>8</v>
      </c>
    </row>
    <row r="17" spans="2:4" ht="15">
      <c r="B17" s="6" t="s">
        <v>31</v>
      </c>
      <c r="C17" s="6" t="s">
        <v>8</v>
      </c>
      <c r="D17" s="9">
        <v>100</v>
      </c>
    </row>
    <row r="18" spans="2:4" ht="15">
      <c r="B18" s="6"/>
      <c r="C18" s="6"/>
      <c r="D18" s="8"/>
    </row>
    <row r="19" ht="15">
      <c r="B19" s="4" t="s">
        <v>29</v>
      </c>
    </row>
    <row r="20" spans="2:4" ht="15">
      <c r="B20" s="6" t="s">
        <v>13</v>
      </c>
      <c r="C20" s="6" t="s">
        <v>5</v>
      </c>
      <c r="D20" s="14">
        <f>E11*4/(PI()*(E9^2))</f>
        <v>5.149520512247173</v>
      </c>
    </row>
    <row r="21" spans="2:4" ht="16.5">
      <c r="B21" s="6" t="s">
        <v>63</v>
      </c>
      <c r="C21" s="6" t="s">
        <v>6</v>
      </c>
      <c r="D21" s="10" t="str">
        <f>IF(D14+D15=0,"NO DATA",0.9*D14+2.7*(((($E$5-$D$7)*9.81*$E$6)/($D$7^2))^(1/3)))</f>
        <v>NO DATA</v>
      </c>
    </row>
    <row r="22" spans="2:4" ht="16.5">
      <c r="B22" s="6" t="s">
        <v>64</v>
      </c>
      <c r="C22" s="6" t="s">
        <v>6</v>
      </c>
      <c r="D22" s="10" t="str">
        <f>IF(D14+D15=0,"NO DATA",0.9*D15+2.7*(((($E$5-$D$7)*9.81*$E$6)/($D$7^2))^(1/3)))</f>
        <v>NO DATA</v>
      </c>
    </row>
    <row r="23" spans="2:5" ht="16.5">
      <c r="B23" s="6" t="s">
        <v>69</v>
      </c>
      <c r="C23" s="5" t="s">
        <v>6</v>
      </c>
      <c r="D23" s="33">
        <f>(D20*E9)/((D6/(D7/1000))*0.000001)</f>
        <v>1045352.6639861764</v>
      </c>
      <c r="E23" s="17" t="str">
        <f>IF(D23&lt;3000,"LAMINAR","TURBULENT")</f>
        <v>TURBULENT</v>
      </c>
    </row>
    <row r="24" spans="2:4" ht="15">
      <c r="B24" s="6" t="s">
        <v>70</v>
      </c>
      <c r="C24" s="5" t="s">
        <v>6</v>
      </c>
      <c r="D24" s="15">
        <f>(-2.457*LN(((7/$D$23)^(0.9))+(0.27*($E$16/$E$9))))^16</f>
        <v>4.730184537727398E+22</v>
      </c>
    </row>
    <row r="25" spans="2:4" ht="15">
      <c r="B25" s="6" t="s">
        <v>71</v>
      </c>
      <c r="C25" s="5" t="s">
        <v>6</v>
      </c>
      <c r="D25" s="15">
        <f>(37530/$D$23)^16</f>
        <v>7.618189040827603E-24</v>
      </c>
    </row>
    <row r="26" spans="2:4" ht="16.5">
      <c r="B26" s="6" t="s">
        <v>72</v>
      </c>
      <c r="C26" s="5" t="s">
        <v>6</v>
      </c>
      <c r="D26" s="12">
        <f>8*((8/D23)^12+(D24+D25)^(-1.5))^(1/12)</f>
        <v>0.011714674514503639</v>
      </c>
    </row>
    <row r="27" spans="2:4" ht="16.5">
      <c r="B27" s="6" t="s">
        <v>73</v>
      </c>
      <c r="C27" s="5" t="s">
        <v>6</v>
      </c>
      <c r="D27" s="12">
        <f>D26/4</f>
        <v>0.0029286686286259097</v>
      </c>
    </row>
    <row r="28" spans="2:5" ht="16.5">
      <c r="B28" s="6" t="s">
        <v>74</v>
      </c>
      <c r="C28" s="5" t="s">
        <v>8</v>
      </c>
      <c r="D28" s="14">
        <f>D26*D17*(D20^2)/(2*E9*9.81)</f>
        <v>7.799536061065617</v>
      </c>
      <c r="E28" s="13"/>
    </row>
    <row r="29" spans="2:4" ht="16.5">
      <c r="B29" s="6" t="s">
        <v>75</v>
      </c>
      <c r="C29" s="5" t="s">
        <v>5</v>
      </c>
      <c r="D29" s="10">
        <f>IF(D14+D15=0,3.93*(D12^0.35)*(((D5-1)/1.65)^0.45)*((D6/1)^(-0.25)),D21*((2/D27)^0.5)*COSH(60*(E12/E9)))</f>
        <v>3.343195262257035</v>
      </c>
    </row>
    <row r="30" spans="2:4" ht="16.5">
      <c r="B30" s="6" t="s">
        <v>76</v>
      </c>
      <c r="C30" s="5" t="s">
        <v>6</v>
      </c>
      <c r="D30" s="10" t="str">
        <f>IF(D14+D15=0,"NO DATA",LOG10((D22*COSH(60*E13/E9)/(D21*COSH(60*E12/E9)))))</f>
        <v>NO DATA</v>
      </c>
    </row>
    <row r="31" spans="2:4" ht="14.25">
      <c r="B31" s="6" t="s">
        <v>77</v>
      </c>
      <c r="C31" s="5" t="s">
        <v>6</v>
      </c>
      <c r="D31" s="10">
        <f>IF(D14+D15=0,MIN((LN(D13/D12))^-1,1.7),MIN((0.25-13*(D30^2))^(-0.5),1.7))</f>
        <v>1.7</v>
      </c>
    </row>
    <row r="32" spans="2:4" ht="14.25">
      <c r="B32" s="6" t="s">
        <v>20</v>
      </c>
      <c r="C32" s="6" t="s">
        <v>6</v>
      </c>
      <c r="D32" s="10">
        <f>(D10*(D5-1)*D8*9.81*E9/(4*D27*(D20^2)))*(D29/D20)^D31</f>
        <v>0.6699316945932873</v>
      </c>
    </row>
    <row r="33" spans="2:4" ht="14.25">
      <c r="B33" s="6" t="s">
        <v>36</v>
      </c>
      <c r="C33" s="6" t="s">
        <v>6</v>
      </c>
      <c r="D33" s="10">
        <f>1+D32</f>
        <v>1.6699316945932874</v>
      </c>
    </row>
    <row r="34" spans="2:4" ht="15.75">
      <c r="B34" s="6" t="s">
        <v>78</v>
      </c>
      <c r="C34" s="5" t="s">
        <v>8</v>
      </c>
      <c r="D34" s="14">
        <f>D33*D28</f>
        <v>13.02469247149676</v>
      </c>
    </row>
    <row r="35" spans="2:4" ht="14.25">
      <c r="B35" s="6" t="s">
        <v>79</v>
      </c>
      <c r="C35" s="5" t="s">
        <v>80</v>
      </c>
      <c r="D35" s="33">
        <f>(D28/D17*9.81*D7)*D33</f>
        <v>1277.7223314538323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.28125" style="0" customWidth="1"/>
    <col min="2" max="2" width="35.421875" style="0" customWidth="1"/>
    <col min="4" max="4" width="12.28125" style="0" customWidth="1"/>
    <col min="5" max="5" width="11.00390625" style="0" customWidth="1"/>
  </cols>
  <sheetData>
    <row r="1" ht="23.25">
      <c r="A1" s="3" t="s">
        <v>21</v>
      </c>
    </row>
    <row r="3" spans="2:11" ht="14.25">
      <c r="B3" s="4" t="s">
        <v>22</v>
      </c>
      <c r="J3" s="7"/>
      <c r="K3" t="s">
        <v>10</v>
      </c>
    </row>
    <row r="4" spans="2:11" ht="14.25">
      <c r="B4" s="6" t="s">
        <v>4</v>
      </c>
      <c r="C4" s="6" t="s">
        <v>7</v>
      </c>
      <c r="D4" s="9">
        <v>203</v>
      </c>
      <c r="E4" s="10">
        <f>D4/1000</f>
        <v>0.203</v>
      </c>
      <c r="F4" s="6" t="s">
        <v>8</v>
      </c>
      <c r="J4" s="9"/>
      <c r="K4" t="s">
        <v>9</v>
      </c>
    </row>
    <row r="5" spans="2:8" ht="17.25">
      <c r="B5" s="6" t="s">
        <v>16</v>
      </c>
      <c r="C5" s="6" t="s">
        <v>17</v>
      </c>
      <c r="D5" s="9">
        <v>600</v>
      </c>
      <c r="E5" s="12">
        <f>D5/3600</f>
        <v>0.16666666666666666</v>
      </c>
      <c r="F5" s="6" t="s">
        <v>27</v>
      </c>
      <c r="G5" s="14">
        <f>E5*1000</f>
        <v>166.66666666666666</v>
      </c>
      <c r="H5" s="6" t="s">
        <v>18</v>
      </c>
    </row>
    <row r="6" spans="2:6" ht="18">
      <c r="B6" s="6" t="s">
        <v>23</v>
      </c>
      <c r="C6" t="s">
        <v>24</v>
      </c>
      <c r="D6" s="9">
        <v>1</v>
      </c>
      <c r="E6" s="15">
        <f>D6*10^(-6)</f>
        <v>1E-06</v>
      </c>
      <c r="F6" s="6" t="s">
        <v>28</v>
      </c>
    </row>
    <row r="7" spans="2:6" ht="15">
      <c r="B7" s="6" t="s">
        <v>25</v>
      </c>
      <c r="C7" s="6" t="s">
        <v>26</v>
      </c>
      <c r="D7" s="9">
        <v>1.5</v>
      </c>
      <c r="E7" s="16">
        <f>D7*10^(-6)</f>
        <v>1.5E-06</v>
      </c>
      <c r="F7" s="6" t="s">
        <v>8</v>
      </c>
    </row>
    <row r="8" spans="2:4" ht="15">
      <c r="B8" s="6" t="s">
        <v>31</v>
      </c>
      <c r="C8" s="6" t="s">
        <v>8</v>
      </c>
      <c r="D8" s="9">
        <v>100</v>
      </c>
    </row>
    <row r="9" ht="15">
      <c r="B9" s="6"/>
    </row>
    <row r="10" ht="15">
      <c r="B10" s="4" t="s">
        <v>29</v>
      </c>
    </row>
    <row r="11" spans="2:4" ht="15">
      <c r="B11" s="6" t="s">
        <v>13</v>
      </c>
      <c r="C11" s="5" t="s">
        <v>5</v>
      </c>
      <c r="D11" s="14">
        <f>E5*4/(PI()*(E4^2))</f>
        <v>5.149520512247173</v>
      </c>
    </row>
    <row r="12" spans="2:5" ht="16.5">
      <c r="B12" s="6" t="s">
        <v>30</v>
      </c>
      <c r="C12" s="5" t="s">
        <v>6</v>
      </c>
      <c r="D12" s="33">
        <f>D11*E4/E6</f>
        <v>1045352.6639861764</v>
      </c>
      <c r="E12" s="17" t="str">
        <f>IF(D12&lt;=3000,"LAMINAR","TURBULENT")</f>
        <v>TURBULENT</v>
      </c>
    </row>
    <row r="13" spans="2:4" ht="15">
      <c r="B13" s="6" t="s">
        <v>33</v>
      </c>
      <c r="C13" s="5" t="s">
        <v>6</v>
      </c>
      <c r="D13" s="15">
        <f>(-2.457*LN(((7/D12)^(0.9))+(0.27*(E7/E4))))^16</f>
        <v>4.730184537727398E+22</v>
      </c>
    </row>
    <row r="14" spans="2:4" ht="15">
      <c r="B14" s="6" t="s">
        <v>34</v>
      </c>
      <c r="C14" s="5" t="s">
        <v>6</v>
      </c>
      <c r="D14" s="15">
        <f>(37530/D12)^16</f>
        <v>7.618189040827603E-24</v>
      </c>
    </row>
    <row r="15" spans="2:4" ht="16.5">
      <c r="B15" s="6" t="s">
        <v>32</v>
      </c>
      <c r="C15" s="5" t="s">
        <v>6</v>
      </c>
      <c r="D15" s="10">
        <f>8*((8/D12)^12+(D13+D14)^(-1.5))^(1/12)</f>
        <v>0.011714674514503639</v>
      </c>
    </row>
    <row r="16" spans="2:4" ht="16.5">
      <c r="B16" s="6" t="s">
        <v>35</v>
      </c>
      <c r="C16" s="5" t="s">
        <v>8</v>
      </c>
      <c r="D16" s="14">
        <f>D15*D8*D11^2/(2*E4*9.81)</f>
        <v>7.799536061065617</v>
      </c>
    </row>
    <row r="17" ht="15">
      <c r="C17" s="5"/>
    </row>
    <row r="18" ht="15">
      <c r="C18" s="5"/>
    </row>
    <row r="19" ht="15">
      <c r="C19" s="5"/>
    </row>
    <row r="20" ht="15">
      <c r="C20" s="5"/>
    </row>
    <row r="21" ht="15">
      <c r="C21" s="5"/>
    </row>
    <row r="22" ht="1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5.57421875" style="0" customWidth="1"/>
    <col min="3" max="3" width="13.140625" style="0" customWidth="1"/>
    <col min="4" max="4" width="9.57421875" style="0" bestFit="1" customWidth="1"/>
    <col min="5" max="5" width="12.8515625" style="0" customWidth="1"/>
    <col min="7" max="7" width="12.7109375" style="0" customWidth="1"/>
    <col min="10" max="10" width="12.57421875" style="0" customWidth="1"/>
  </cols>
  <sheetData>
    <row r="1" ht="23.25">
      <c r="A1" s="3" t="s">
        <v>40</v>
      </c>
    </row>
    <row r="3" ht="14.25">
      <c r="B3" s="4" t="s">
        <v>22</v>
      </c>
    </row>
    <row r="4" spans="2:10" ht="14.25">
      <c r="B4" s="6" t="s">
        <v>4</v>
      </c>
      <c r="C4" s="6" t="s">
        <v>8</v>
      </c>
      <c r="D4" s="18">
        <v>0.1</v>
      </c>
      <c r="E4" s="6"/>
      <c r="F4" s="6"/>
      <c r="G4" s="9"/>
      <c r="H4" t="s">
        <v>9</v>
      </c>
      <c r="I4" s="6"/>
      <c r="J4" s="6"/>
    </row>
    <row r="5" spans="2:10" ht="15.75">
      <c r="B5" s="6" t="s">
        <v>1</v>
      </c>
      <c r="C5" s="6" t="s">
        <v>6</v>
      </c>
      <c r="D5" s="9">
        <v>0.945</v>
      </c>
      <c r="E5" s="6"/>
      <c r="F5" s="6"/>
      <c r="G5" s="11"/>
      <c r="H5" t="s">
        <v>10</v>
      </c>
      <c r="I5" s="6"/>
      <c r="J5" s="6"/>
    </row>
    <row r="6" spans="2:10" ht="14.25">
      <c r="B6" s="6" t="s">
        <v>2</v>
      </c>
      <c r="C6" s="6" t="s">
        <v>6</v>
      </c>
      <c r="D6" s="9">
        <v>2.7</v>
      </c>
      <c r="E6" s="6"/>
      <c r="F6" s="6"/>
      <c r="G6" s="6"/>
      <c r="H6" s="6"/>
      <c r="I6" s="6"/>
      <c r="J6" s="6"/>
    </row>
    <row r="7" spans="2:10" ht="14.25">
      <c r="B7" s="6" t="s">
        <v>3</v>
      </c>
      <c r="C7" s="6" t="s">
        <v>6</v>
      </c>
      <c r="D7" s="9">
        <v>82</v>
      </c>
      <c r="E7" s="6"/>
      <c r="F7" s="6"/>
      <c r="G7" s="6"/>
      <c r="H7" s="6"/>
      <c r="I7" s="6"/>
      <c r="J7" s="6"/>
    </row>
    <row r="8" spans="2:10" ht="15.75">
      <c r="B8" s="6" t="s">
        <v>14</v>
      </c>
      <c r="C8" s="6" t="s">
        <v>15</v>
      </c>
      <c r="D8" s="9">
        <v>0.3</v>
      </c>
      <c r="E8" s="6"/>
      <c r="F8" s="6"/>
      <c r="G8" s="6"/>
      <c r="H8" s="6"/>
      <c r="I8" s="6"/>
      <c r="J8" s="6"/>
    </row>
    <row r="9" spans="2:10" ht="14.25">
      <c r="B9" s="6" t="s">
        <v>25</v>
      </c>
      <c r="C9" s="6" t="s">
        <v>26</v>
      </c>
      <c r="D9" s="9">
        <v>30</v>
      </c>
      <c r="E9" s="16">
        <f>D9*10^(-6)</f>
        <v>2.9999999999999997E-05</v>
      </c>
      <c r="F9" s="6" t="s">
        <v>8</v>
      </c>
      <c r="G9" s="6" t="s">
        <v>47</v>
      </c>
      <c r="H9" s="6"/>
      <c r="I9" s="6"/>
      <c r="J9" s="6" t="s">
        <v>49</v>
      </c>
    </row>
    <row r="10" spans="2:10" ht="14.25">
      <c r="B10" s="6" t="s">
        <v>31</v>
      </c>
      <c r="C10" s="6" t="s">
        <v>8</v>
      </c>
      <c r="D10" s="9">
        <v>100</v>
      </c>
      <c r="G10" s="6" t="s">
        <v>48</v>
      </c>
      <c r="H10" s="6"/>
      <c r="I10" s="6"/>
      <c r="J10" s="6" t="s">
        <v>50</v>
      </c>
    </row>
    <row r="11" spans="2:10" ht="14.25">
      <c r="B11" s="6"/>
      <c r="C11" s="6"/>
      <c r="D11" s="6"/>
      <c r="E11" s="6"/>
      <c r="F11" s="6"/>
      <c r="G11" s="6"/>
      <c r="H11" s="6"/>
      <c r="I11" s="6"/>
      <c r="J11" s="6"/>
    </row>
    <row r="12" spans="2:10" ht="14.25">
      <c r="B12" s="4" t="s">
        <v>29</v>
      </c>
      <c r="C12" s="34" t="s">
        <v>53</v>
      </c>
      <c r="D12" s="34"/>
      <c r="E12" s="34"/>
      <c r="F12" s="34"/>
      <c r="G12" s="25" t="s">
        <v>43</v>
      </c>
      <c r="H12" s="35" t="s">
        <v>54</v>
      </c>
      <c r="I12" s="34"/>
      <c r="J12" s="24" t="s">
        <v>46</v>
      </c>
    </row>
    <row r="13" spans="2:10" ht="15">
      <c r="B13" s="22" t="s">
        <v>39</v>
      </c>
      <c r="C13" s="22" t="s">
        <v>41</v>
      </c>
      <c r="D13" s="22" t="s">
        <v>33</v>
      </c>
      <c r="E13" s="22" t="s">
        <v>34</v>
      </c>
      <c r="F13" s="22" t="s">
        <v>42</v>
      </c>
      <c r="G13" s="25" t="s">
        <v>52</v>
      </c>
      <c r="H13" s="27" t="s">
        <v>44</v>
      </c>
      <c r="I13" s="22" t="s">
        <v>45</v>
      </c>
      <c r="J13" s="22" t="s">
        <v>51</v>
      </c>
    </row>
    <row r="14" spans="2:10" ht="14.25">
      <c r="B14" s="23">
        <v>0.5</v>
      </c>
      <c r="C14" s="19">
        <f>B14*$D$4/(0.000001)</f>
        <v>50000.00000000001</v>
      </c>
      <c r="D14" s="20">
        <f>(-2.457*LN(((7/C14)^(0.9))+(0.27*($D$9/$D$4))))^16</f>
        <v>34116167964063044</v>
      </c>
      <c r="E14" s="20">
        <f>(37530/C14)^16</f>
        <v>0.010151657599834826</v>
      </c>
      <c r="F14" s="21">
        <f>8*((8/C14)^12+(D14+E14)^(-1.5))^(1/12)</f>
        <v>0.06862304049240292</v>
      </c>
      <c r="G14" s="26">
        <f>F14*$D$10*(B14^2)/(2*$D$4*9.81)</f>
        <v>0.874401637263034</v>
      </c>
      <c r="H14" s="28">
        <f>B14^2/(9.81*($D$6-1)*$D$4)</f>
        <v>0.14990705762427292</v>
      </c>
      <c r="I14" s="21">
        <f>1+($D$7*$D$8*((SQRT($D$5)*H14)^(-1.5)))</f>
        <v>443.2095636862791</v>
      </c>
      <c r="J14" s="19">
        <f>G14*I14</f>
        <v>387.5431681379174</v>
      </c>
    </row>
    <row r="15" spans="2:10" ht="14.25">
      <c r="B15" s="23">
        <v>1</v>
      </c>
      <c r="C15" s="19">
        <f aca="true" t="shared" si="0" ref="C15:C25">B15*$D$4/(0.000001)</f>
        <v>100000.00000000001</v>
      </c>
      <c r="D15" s="20">
        <f aca="true" t="shared" si="1" ref="D15:D25">(-2.457*LN(((7/C15)^(0.9))+(0.27*($D$9/$D$4))))^16</f>
        <v>34115925957735220</v>
      </c>
      <c r="E15" s="20">
        <f aca="true" t="shared" si="2" ref="E15:E25">(37530/C15)^16</f>
        <v>1.5490200195060464E-07</v>
      </c>
      <c r="F15" s="21">
        <f aca="true" t="shared" si="3" ref="F15:F25">8*((8/C15)^12+(D15+E15)^(-1.5))^(1/12)</f>
        <v>0.06862310134066522</v>
      </c>
      <c r="G15" s="26">
        <f aca="true" t="shared" si="4" ref="G15:G25">F15*$D$10*(B15^2)/(2*$D$4*9.81)</f>
        <v>3.4976096503906837</v>
      </c>
      <c r="H15" s="28">
        <f aca="true" t="shared" si="5" ref="H15:H25">B15^2/(9.81*($D$6-1)*$D$4)</f>
        <v>0.5996282304970917</v>
      </c>
      <c r="I15" s="21">
        <f aca="true" t="shared" si="6" ref="I15:I25">1+($D$7*$D$8*((SQRT($D$5)*H15)^(-1.5)))</f>
        <v>56.27619546078489</v>
      </c>
      <c r="J15" s="19">
        <f aca="true" t="shared" si="7" ref="J15:J25">G15*I15</f>
        <v>196.83216433091363</v>
      </c>
    </row>
    <row r="16" spans="2:10" ht="14.25">
      <c r="B16" s="23">
        <v>1.5</v>
      </c>
      <c r="C16" s="19">
        <f t="shared" si="0"/>
        <v>150000.00000000003</v>
      </c>
      <c r="D16" s="20">
        <f t="shared" si="1"/>
        <v>34115840522635140</v>
      </c>
      <c r="E16" s="20">
        <f t="shared" si="2"/>
        <v>2.3582882421717626E-10</v>
      </c>
      <c r="F16" s="21">
        <f t="shared" si="3"/>
        <v>0.06862312282194415</v>
      </c>
      <c r="G16" s="26">
        <f t="shared" si="4"/>
        <v>7.869624176828457</v>
      </c>
      <c r="H16" s="28">
        <f t="shared" si="5"/>
        <v>1.3491635186184563</v>
      </c>
      <c r="I16" s="21">
        <f t="shared" si="6"/>
        <v>17.37813198838071</v>
      </c>
      <c r="J16" s="19">
        <f t="shared" si="7"/>
        <v>136.7593676438768</v>
      </c>
    </row>
    <row r="17" spans="2:10" ht="14.25">
      <c r="B17" s="23">
        <v>2</v>
      </c>
      <c r="C17" s="19">
        <f t="shared" si="0"/>
        <v>200000.00000000003</v>
      </c>
      <c r="D17" s="20">
        <f t="shared" si="1"/>
        <v>34115796270223600</v>
      </c>
      <c r="E17" s="20">
        <f t="shared" si="2"/>
        <v>2.3636169731232397E-12</v>
      </c>
      <c r="F17" s="21">
        <f t="shared" si="3"/>
        <v>0.06862313394852373</v>
      </c>
      <c r="G17" s="26">
        <f t="shared" si="4"/>
        <v>13.990445249444186</v>
      </c>
      <c r="H17" s="28">
        <f t="shared" si="5"/>
        <v>2.3985129219883667</v>
      </c>
      <c r="I17" s="21">
        <f t="shared" si="6"/>
        <v>7.909524432598111</v>
      </c>
      <c r="J17" s="19">
        <f t="shared" si="7"/>
        <v>110.65776852340497</v>
      </c>
    </row>
    <row r="18" spans="2:10" ht="14.25">
      <c r="B18" s="23">
        <v>2.5</v>
      </c>
      <c r="C18" s="19">
        <f t="shared" si="0"/>
        <v>250000</v>
      </c>
      <c r="D18" s="20">
        <f t="shared" si="1"/>
        <v>34115769024807110</v>
      </c>
      <c r="E18" s="20">
        <f t="shared" si="2"/>
        <v>6.652990324627761E-14</v>
      </c>
      <c r="F18" s="21">
        <f t="shared" si="3"/>
        <v>0.06862314079896725</v>
      </c>
      <c r="G18" s="26">
        <f t="shared" si="4"/>
        <v>21.86007288448243</v>
      </c>
      <c r="H18" s="28">
        <f t="shared" si="5"/>
        <v>3.747676440606823</v>
      </c>
      <c r="I18" s="21">
        <f t="shared" si="6"/>
        <v>4.537676509490233</v>
      </c>
      <c r="J18" s="19">
        <f t="shared" si="7"/>
        <v>99.19393922366034</v>
      </c>
    </row>
    <row r="19" spans="2:10" ht="14.25">
      <c r="B19" s="23">
        <v>3</v>
      </c>
      <c r="C19" s="19">
        <f t="shared" si="0"/>
        <v>300000.00000000006</v>
      </c>
      <c r="D19" s="20">
        <f t="shared" si="1"/>
        <v>34115750486784852</v>
      </c>
      <c r="E19" s="20">
        <f t="shared" si="2"/>
        <v>3.598462283587284E-15</v>
      </c>
      <c r="F19" s="21">
        <f t="shared" si="3"/>
        <v>0.06862314546007313</v>
      </c>
      <c r="G19" s="26">
        <f t="shared" si="4"/>
        <v>31.47850709177666</v>
      </c>
      <c r="H19" s="28">
        <f t="shared" si="5"/>
        <v>5.396654074473825</v>
      </c>
      <c r="I19" s="21">
        <f t="shared" si="6"/>
        <v>3.047266498547589</v>
      </c>
      <c r="J19" s="19">
        <f t="shared" si="7"/>
        <v>95.9234000850637</v>
      </c>
    </row>
    <row r="20" spans="2:10" ht="14.25">
      <c r="B20" s="23">
        <v>3.5</v>
      </c>
      <c r="C20" s="19">
        <f t="shared" si="0"/>
        <v>350000.00000000006</v>
      </c>
      <c r="D20" s="20">
        <f t="shared" si="1"/>
        <v>34115737019681476</v>
      </c>
      <c r="E20" s="20">
        <f t="shared" si="2"/>
        <v>3.054698284454269E-16</v>
      </c>
      <c r="F20" s="21">
        <f t="shared" si="3"/>
        <v>0.06862314884617488</v>
      </c>
      <c r="G20" s="26">
        <f t="shared" si="4"/>
        <v>42.84574787796341</v>
      </c>
      <c r="H20" s="28">
        <f t="shared" si="5"/>
        <v>7.3454458235893725</v>
      </c>
      <c r="I20" s="21">
        <f t="shared" si="6"/>
        <v>2.2892407104556245</v>
      </c>
      <c r="J20" s="19">
        <f t="shared" si="7"/>
        <v>98.08423031215153</v>
      </c>
    </row>
    <row r="21" spans="2:10" ht="14.25">
      <c r="B21" s="23">
        <v>4</v>
      </c>
      <c r="C21" s="19">
        <f t="shared" si="0"/>
        <v>400000.00000000006</v>
      </c>
      <c r="D21" s="20">
        <f t="shared" si="1"/>
        <v>34115726772541404</v>
      </c>
      <c r="E21" s="20">
        <f t="shared" si="2"/>
        <v>3.6065932817432247E-17</v>
      </c>
      <c r="F21" s="21">
        <f t="shared" si="3"/>
        <v>0.06862315142266591</v>
      </c>
      <c r="G21" s="26">
        <f t="shared" si="4"/>
        <v>55.961795247841714</v>
      </c>
      <c r="H21" s="28">
        <f t="shared" si="5"/>
        <v>9.594051687953467</v>
      </c>
      <c r="I21" s="21">
        <f t="shared" si="6"/>
        <v>1.863690554074764</v>
      </c>
      <c r="J21" s="19">
        <f t="shared" si="7"/>
        <v>104.29546919246862</v>
      </c>
    </row>
    <row r="22" spans="2:10" ht="14.25">
      <c r="B22" s="23">
        <v>4.5</v>
      </c>
      <c r="C22" s="19">
        <f t="shared" si="0"/>
        <v>450000.00000000006</v>
      </c>
      <c r="D22" s="20">
        <f t="shared" si="1"/>
        <v>34115718701511530</v>
      </c>
      <c r="E22" s="20">
        <f t="shared" si="2"/>
        <v>5.478438746058633E-18</v>
      </c>
      <c r="F22" s="21">
        <f t="shared" si="3"/>
        <v>0.06862315345200708</v>
      </c>
      <c r="G22" s="26">
        <f t="shared" si="4"/>
        <v>70.82664920505317</v>
      </c>
      <c r="H22" s="28">
        <f t="shared" si="5"/>
        <v>12.142471667566106</v>
      </c>
      <c r="I22" s="21">
        <f t="shared" si="6"/>
        <v>1.6065974810511374</v>
      </c>
      <c r="J22" s="19">
        <f t="shared" si="7"/>
        <v>113.78991620413098</v>
      </c>
    </row>
    <row r="23" spans="2:10" ht="14.25">
      <c r="B23" s="23">
        <v>5</v>
      </c>
      <c r="C23" s="19">
        <f t="shared" si="0"/>
        <v>500000</v>
      </c>
      <c r="D23" s="20">
        <f t="shared" si="1"/>
        <v>34115712172102052</v>
      </c>
      <c r="E23" s="20">
        <f t="shared" si="2"/>
        <v>1.015165759983484E-18</v>
      </c>
      <c r="F23" s="21">
        <f t="shared" si="3"/>
        <v>0.06862315509373089</v>
      </c>
      <c r="G23" s="26">
        <f t="shared" si="4"/>
        <v>87.44030975246035</v>
      </c>
      <c r="H23" s="28">
        <f t="shared" si="5"/>
        <v>14.990705762427291</v>
      </c>
      <c r="I23" s="21">
        <f t="shared" si="6"/>
        <v>1.442209563686279</v>
      </c>
      <c r="J23" s="19">
        <f t="shared" si="7"/>
        <v>126.10725097668893</v>
      </c>
    </row>
    <row r="24" spans="2:10" ht="14.25">
      <c r="B24" s="23">
        <v>5.5</v>
      </c>
      <c r="C24" s="19">
        <f t="shared" si="0"/>
        <v>550000.0000000001</v>
      </c>
      <c r="D24" s="20">
        <f t="shared" si="1"/>
        <v>34115706775901076</v>
      </c>
      <c r="E24" s="20">
        <f t="shared" si="2"/>
        <v>2.209296470289543E-19</v>
      </c>
      <c r="F24" s="21">
        <f t="shared" si="3"/>
        <v>0.06862315645052654</v>
      </c>
      <c r="G24" s="26">
        <f t="shared" si="4"/>
        <v>105.80277689237653</v>
      </c>
      <c r="H24" s="28">
        <f t="shared" si="5"/>
        <v>18.13875397253702</v>
      </c>
      <c r="I24" s="21">
        <f t="shared" si="6"/>
        <v>1.3322385902977307</v>
      </c>
      <c r="J24" s="19">
        <f t="shared" si="7"/>
        <v>140.95454233668502</v>
      </c>
    </row>
    <row r="25" spans="2:10" ht="14.25">
      <c r="B25" s="23">
        <v>6</v>
      </c>
      <c r="C25" s="19">
        <f t="shared" si="0"/>
        <v>600000.0000000001</v>
      </c>
      <c r="D25" s="20">
        <f t="shared" si="1"/>
        <v>34115702237832116</v>
      </c>
      <c r="E25" s="20">
        <f t="shared" si="2"/>
        <v>5.490817693462043E-20</v>
      </c>
      <c r="F25" s="21">
        <f t="shared" si="3"/>
        <v>0.06862315759155754</v>
      </c>
      <c r="G25" s="26">
        <f t="shared" si="4"/>
        <v>125.91405062671107</v>
      </c>
      <c r="H25" s="28">
        <f t="shared" si="5"/>
        <v>21.5866162978953</v>
      </c>
      <c r="I25" s="21">
        <f t="shared" si="6"/>
        <v>1.2559083123184485</v>
      </c>
      <c r="J25" s="19">
        <f t="shared" si="7"/>
        <v>158.13650281977237</v>
      </c>
    </row>
  </sheetData>
  <sheetProtection/>
  <mergeCells count="2">
    <mergeCell ref="C12:F12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52.7109375" style="0" customWidth="1"/>
    <col min="4" max="4" width="10.28125" style="0" bestFit="1" customWidth="1"/>
    <col min="5" max="5" width="11.00390625" style="0" customWidth="1"/>
  </cols>
  <sheetData>
    <row r="1" ht="27">
      <c r="A1" s="3" t="s">
        <v>81</v>
      </c>
    </row>
    <row r="3" ht="14.25">
      <c r="B3" s="4" t="s">
        <v>22</v>
      </c>
    </row>
    <row r="4" spans="2:8" ht="17.25">
      <c r="B4" s="6" t="s">
        <v>84</v>
      </c>
      <c r="C4" s="6" t="s">
        <v>6</v>
      </c>
      <c r="D4" s="9">
        <v>2.65</v>
      </c>
      <c r="E4" s="7">
        <f>D4*1000</f>
        <v>2650</v>
      </c>
      <c r="F4" s="6" t="s">
        <v>57</v>
      </c>
      <c r="G4" s="11"/>
      <c r="H4" t="s">
        <v>10</v>
      </c>
    </row>
    <row r="5" spans="2:6" ht="18">
      <c r="B5" s="6" t="s">
        <v>83</v>
      </c>
      <c r="C5" s="6" t="s">
        <v>57</v>
      </c>
      <c r="D5" s="9">
        <v>1000</v>
      </c>
      <c r="E5" s="31"/>
      <c r="F5" s="6"/>
    </row>
    <row r="6" spans="2:6" ht="14.25">
      <c r="B6" s="6" t="s">
        <v>4</v>
      </c>
      <c r="C6" s="6" t="s">
        <v>7</v>
      </c>
      <c r="D6" s="9">
        <v>203</v>
      </c>
      <c r="E6" s="10">
        <f>D6/1000</f>
        <v>0.203</v>
      </c>
      <c r="F6" s="6" t="s">
        <v>8</v>
      </c>
    </row>
    <row r="7" spans="2:8" ht="15.75">
      <c r="B7" s="6" t="s">
        <v>14</v>
      </c>
      <c r="C7" s="6" t="s">
        <v>15</v>
      </c>
      <c r="D7" s="9">
        <v>0.3</v>
      </c>
      <c r="E7" s="7">
        <f>D7*100</f>
        <v>30</v>
      </c>
      <c r="F7" s="6" t="s">
        <v>65</v>
      </c>
      <c r="G7" s="29"/>
      <c r="H7" s="6"/>
    </row>
    <row r="8" spans="2:10" ht="18">
      <c r="B8" s="6" t="s">
        <v>16</v>
      </c>
      <c r="C8" s="6" t="s">
        <v>17</v>
      </c>
      <c r="D8" s="9">
        <v>600</v>
      </c>
      <c r="E8" s="12">
        <f>D8/3600</f>
        <v>0.16666666666666666</v>
      </c>
      <c r="F8" s="6" t="s">
        <v>27</v>
      </c>
      <c r="G8" s="30">
        <f>E8*1000</f>
        <v>166.66666666666666</v>
      </c>
      <c r="H8" s="6" t="s">
        <v>18</v>
      </c>
      <c r="J8" s="1" t="s">
        <v>82</v>
      </c>
    </row>
    <row r="9" spans="2:6" ht="16.5">
      <c r="B9" s="6" t="s">
        <v>59</v>
      </c>
      <c r="C9" s="6" t="s">
        <v>7</v>
      </c>
      <c r="D9" s="9">
        <v>0.63</v>
      </c>
      <c r="E9" s="15">
        <f>D9/1000</f>
        <v>0.00063</v>
      </c>
      <c r="F9" s="6" t="s">
        <v>8</v>
      </c>
    </row>
    <row r="10" spans="2:6" ht="15">
      <c r="B10" s="6" t="s">
        <v>25</v>
      </c>
      <c r="C10" s="6" t="s">
        <v>26</v>
      </c>
      <c r="D10" s="9">
        <v>1.5</v>
      </c>
      <c r="E10" s="16">
        <f>D10*10^(-6)</f>
        <v>1.5E-06</v>
      </c>
      <c r="F10" s="6" t="s">
        <v>8</v>
      </c>
    </row>
    <row r="11" spans="2:4" ht="15">
      <c r="B11" s="6"/>
      <c r="C11" s="6"/>
      <c r="D11" s="8"/>
    </row>
    <row r="12" ht="15">
      <c r="B12" s="4" t="s">
        <v>29</v>
      </c>
    </row>
    <row r="13" spans="2:14" ht="23.25">
      <c r="B13" s="6" t="s">
        <v>85</v>
      </c>
      <c r="C13" s="6" t="s">
        <v>5</v>
      </c>
      <c r="D13" s="14">
        <f>E8*4/(PI()*(E6^2))</f>
        <v>5.149520512247173</v>
      </c>
      <c r="N13" s="3"/>
    </row>
    <row r="14" spans="2:4" ht="16.5">
      <c r="B14" s="6" t="s">
        <v>86</v>
      </c>
      <c r="C14" s="6" t="s">
        <v>6</v>
      </c>
      <c r="D14" s="14">
        <f>0.4794+(0.5429*((0.01*E7)^0.1058)*(LOG(D9*1000)-1))</f>
        <v>1.3394280926399347</v>
      </c>
    </row>
    <row r="15" spans="2:4" ht="16.5">
      <c r="B15" s="6" t="s">
        <v>87</v>
      </c>
      <c r="C15" s="6" t="s">
        <v>5</v>
      </c>
      <c r="D15" s="14">
        <f>D14*SQRT(2*9.81*E6*(D4-(D5/1000)/(D5/1000)))</f>
        <v>3.433672703549416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 Redberg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Danenbergsons</dc:creator>
  <cp:keywords/>
  <dc:description/>
  <cp:lastModifiedBy>Karl Danenbergsons</cp:lastModifiedBy>
  <cp:lastPrinted>2009-10-05T12:01:27Z</cp:lastPrinted>
  <dcterms:created xsi:type="dcterms:W3CDTF">2009-10-03T03:50:23Z</dcterms:created>
  <dcterms:modified xsi:type="dcterms:W3CDTF">2010-04-27T04:34:41Z</dcterms:modified>
  <cp:category/>
  <cp:version/>
  <cp:contentType/>
  <cp:contentStatus/>
</cp:coreProperties>
</file>